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36" tabRatio="888" firstSheet="68" activeTab="69"/>
  </bookViews>
  <sheets>
    <sheet name="КПК 72 часов (11000)" sheetId="1" r:id="rId1"/>
    <sheet name="КПК 72 часов (11001)" sheetId="2" r:id="rId2"/>
    <sheet name="КПК 72 часов (11002)" sheetId="3" r:id="rId3"/>
    <sheet name="КПК 72 часов (11003)" sheetId="4" r:id="rId4"/>
    <sheet name="КПК 72 часов (11004)" sheetId="5" r:id="rId5"/>
    <sheet name="КПК 72 часов (11005)" sheetId="6" r:id="rId6"/>
    <sheet name="КПК 72 часов (11006)" sheetId="7" r:id="rId7"/>
    <sheet name="КПК 72 часов (11007)" sheetId="8" r:id="rId8"/>
    <sheet name="КПК 72 часов (11008)" sheetId="9" r:id="rId9"/>
    <sheet name="КПК 72 часов (11009)" sheetId="10" r:id="rId10"/>
    <sheet name="КПК 72 часов (11010)" sheetId="11" r:id="rId11"/>
    <sheet name="КПК 72 часов (11011)" sheetId="12" r:id="rId12"/>
    <sheet name="КПК 72 часов (11012)" sheetId="13" r:id="rId13"/>
    <sheet name="КПК 108 часов (16000)" sheetId="14" r:id="rId14"/>
    <sheet name="КПК 108 часов (16001)" sheetId="15" r:id="rId15"/>
    <sheet name="КПК 108 часов (16002)" sheetId="16" r:id="rId16"/>
    <sheet name="КПК 108 часов (16003)" sheetId="17" r:id="rId17"/>
    <sheet name="КПК 108 часов (16004)" sheetId="18" r:id="rId18"/>
    <sheet name="КПК 108 часов (16005)" sheetId="19" r:id="rId19"/>
    <sheet name="КПК 108 часов (16006)" sheetId="20" r:id="rId20"/>
    <sheet name="КПК 540 часов (31800)" sheetId="21" r:id="rId21"/>
    <sheet name="КПК 72 часов (11013)" sheetId="22" r:id="rId22"/>
    <sheet name="КПК 72 часов (11014)" sheetId="23" r:id="rId23"/>
    <sheet name="КПК 72 часов (11015)" sheetId="24" r:id="rId24"/>
    <sheet name="КПК 72 часов (11016)" sheetId="25" r:id="rId25"/>
    <sheet name="КПК 72 часов (11017)" sheetId="26" r:id="rId26"/>
    <sheet name="КПК 112 часов (16300)" sheetId="27" r:id="rId27"/>
    <sheet name="КПК 72 часов (11018)" sheetId="28" r:id="rId28"/>
    <sheet name="КПК 112 часов (16301)" sheetId="29" r:id="rId29"/>
    <sheet name="КПК 72 часов (11019)" sheetId="30" r:id="rId30"/>
    <sheet name="КПК 72 часов (11020)" sheetId="31" r:id="rId31"/>
    <sheet name="КПК 72 часов (11021)" sheetId="32" r:id="rId32"/>
    <sheet name="КПК 72 часов (11022)" sheetId="33" r:id="rId33"/>
    <sheet name="КПК 72 часов (11023)" sheetId="34" r:id="rId34"/>
    <sheet name="КПК 80 часов (11000)" sheetId="35" r:id="rId35"/>
    <sheet name="КПК 68 часов (11000)" sheetId="36" r:id="rId36"/>
    <sheet name="КПК 128 часов (16000)" sheetId="37" r:id="rId37"/>
    <sheet name="КПК 180 часов (18000)" sheetId="38" r:id="rId38"/>
    <sheet name="КПК 260 часов (23598)" sheetId="39" r:id="rId39"/>
    <sheet name="КПК 260 часов (11500)" sheetId="40" r:id="rId40"/>
    <sheet name="КПК 390 часов (26000)" sheetId="41" r:id="rId41"/>
    <sheet name="КПК 108 часов (14000)" sheetId="42" r:id="rId42"/>
    <sheet name="КПК 40 часов (6000)" sheetId="43" r:id="rId43"/>
    <sheet name="КПК 40 часов (6001)" sheetId="44" r:id="rId44"/>
    <sheet name="КПК 28 часов (2600)" sheetId="45" r:id="rId45"/>
    <sheet name="КПК 20 часов (2550)" sheetId="46" r:id="rId46"/>
    <sheet name="КПК 16 часов (1900)" sheetId="47" r:id="rId47"/>
    <sheet name="КПК 40 часов (6002)" sheetId="48" r:id="rId48"/>
    <sheet name="КПК 32 часов (5500)" sheetId="49" r:id="rId49"/>
    <sheet name="КПК 36 часов (5800)" sheetId="50" r:id="rId50"/>
    <sheet name="КПК 36 часов (5801)" sheetId="51" r:id="rId51"/>
    <sheet name="КПК 40 часов (6003)" sheetId="52" r:id="rId52"/>
    <sheet name="КПК 40 часов (6004)" sheetId="53" r:id="rId53"/>
    <sheet name="КПК 16 часов (3500)" sheetId="54" r:id="rId54"/>
    <sheet name="КПК 16 часов (3501)" sheetId="55" r:id="rId55"/>
    <sheet name="КПК 40 часов (6005)" sheetId="56" r:id="rId56"/>
    <sheet name="КПК 72 часов (11024)" sheetId="57" r:id="rId57"/>
    <sheet name="КПК 16 часов (2000)" sheetId="58" r:id="rId58"/>
    <sheet name="КПК 72 часов (20000)" sheetId="59" r:id="rId59"/>
    <sheet name="КПК 151 часов (20000)" sheetId="60" r:id="rId60"/>
    <sheet name="КПК 126 часов (18000)" sheetId="61" r:id="rId61"/>
    <sheet name="КПК 120 часов (16000)" sheetId="62" r:id="rId62"/>
    <sheet name="КПК 111 часов (15000)" sheetId="63" r:id="rId63"/>
    <sheet name="КПК 86 часов (14000)" sheetId="64" r:id="rId64"/>
    <sheet name="КПК 80 часов (13000)" sheetId="65" r:id="rId65"/>
    <sheet name="КПК 106 часов (10000)" sheetId="66" r:id="rId66"/>
    <sheet name="КПК 81 часов (9000)" sheetId="67" r:id="rId67"/>
    <sheet name="КПК 75 часов (8000)" sheetId="68" r:id="rId68"/>
    <sheet name="КПК 39 часов (5000)" sheetId="69" r:id="rId69"/>
    <sheet name="КПК 40 часов (6006)" sheetId="70" r:id="rId70"/>
    <sheet name="КПК 72 часов (11025)" sheetId="71" r:id="rId71"/>
    <sheet name="КПК 72 часов (4431)" sheetId="72" r:id="rId72"/>
    <sheet name="КПК 108 часов (6431)" sheetId="73" r:id="rId73"/>
    <sheet name="КПК 72 часов (10651)" sheetId="74" r:id="rId74"/>
    <sheet name="КПК 260 часов (14698)" sheetId="75" r:id="rId75"/>
    <sheet name="КПК 44 часов (5000)" sheetId="76" r:id="rId76"/>
    <sheet name="КПК 36 часов (2888)" sheetId="77" r:id="rId77"/>
    <sheet name="КПК 40 часов (3300)" sheetId="78" r:id="rId78"/>
  </sheets>
  <definedNames/>
  <calcPr fullCalcOnLoad="1"/>
</workbook>
</file>

<file path=xl/sharedStrings.xml><?xml version="1.0" encoding="utf-8"?>
<sst xmlns="http://schemas.openxmlformats.org/spreadsheetml/2006/main" count="4927" uniqueCount="230">
  <si>
    <t>Количество розеток</t>
  </si>
  <si>
    <t>Стоимость Гкал</t>
  </si>
  <si>
    <t>1.</t>
  </si>
  <si>
    <t>Коммунальные услуги</t>
  </si>
  <si>
    <t>1.1</t>
  </si>
  <si>
    <t>Теплоснабжение</t>
  </si>
  <si>
    <t>Гкал в год</t>
  </si>
  <si>
    <t>Объем помещения (куб.м.)</t>
  </si>
  <si>
    <t>1.2</t>
  </si>
  <si>
    <t>Электроэнергия</t>
  </si>
  <si>
    <t>Количество ламп</t>
  </si>
  <si>
    <t>Мощность</t>
  </si>
  <si>
    <t>Мощность розеток</t>
  </si>
  <si>
    <t>Количество часов</t>
  </si>
  <si>
    <t>Стоимость 1 кВт</t>
  </si>
  <si>
    <t>1.3</t>
  </si>
  <si>
    <t>Водоснабжение</t>
  </si>
  <si>
    <t>Количество обучающихся</t>
  </si>
  <si>
    <t>Объем водопотребления (куб.м.)</t>
  </si>
  <si>
    <t>Количество дней обучения</t>
  </si>
  <si>
    <t>1.4</t>
  </si>
  <si>
    <t>ИТОГО коммунальные услуги</t>
  </si>
  <si>
    <t>2.</t>
  </si>
  <si>
    <t>Заработная плата</t>
  </si>
  <si>
    <t>2.1</t>
  </si>
  <si>
    <t>Преподавателя</t>
  </si>
  <si>
    <t>Стоимость часа</t>
  </si>
  <si>
    <t>2.2</t>
  </si>
  <si>
    <t>ИТОГО заработная плата</t>
  </si>
  <si>
    <t>3.</t>
  </si>
  <si>
    <t>Начисления на заработную плату</t>
  </si>
  <si>
    <t>Начисления</t>
  </si>
  <si>
    <t>ИТОГО начисления на заработную плату</t>
  </si>
  <si>
    <t>4.</t>
  </si>
  <si>
    <t>Удостоверения</t>
  </si>
  <si>
    <t>Стоимость удостоверения</t>
  </si>
  <si>
    <t>ИТОГО на удостоверения</t>
  </si>
  <si>
    <t>ВСЕГО затрат</t>
  </si>
  <si>
    <t>Плановые накопления</t>
  </si>
  <si>
    <t>ИТОГО стоимость обучения на 1 человека</t>
  </si>
  <si>
    <t>Стоимость водоснабжения</t>
  </si>
  <si>
    <t>Стоимость водоотведения</t>
  </si>
  <si>
    <t>Объем ЯИВТ (куб.м.)</t>
  </si>
  <si>
    <t>Водоотведение</t>
  </si>
  <si>
    <t>Объем водоотведения (куб.м.)</t>
  </si>
  <si>
    <t>УТВЕРЖДАЮ:</t>
  </si>
  <si>
    <t>5.</t>
  </si>
  <si>
    <t>Стимулирующие выплаты</t>
  </si>
  <si>
    <t>по положениям</t>
  </si>
  <si>
    <t>6.</t>
  </si>
  <si>
    <t>Директор ЯИВТ</t>
  </si>
  <si>
    <t>Прочие расходы</t>
  </si>
  <si>
    <t xml:space="preserve">                         ____________________ Я. М. Стрек</t>
  </si>
  <si>
    <t>72 * 432</t>
  </si>
  <si>
    <t xml:space="preserve">Расчет стоимости обучения на курсах повышения квалификации </t>
  </si>
  <si>
    <t xml:space="preserve">                          "11" января 2021 г.</t>
  </si>
  <si>
    <t>2399,62* 7600 * 0,054% : 365 дн.* 9 дн.</t>
  </si>
  <si>
    <t>((36 * 0,03) + (5* 0,6)) * 72 * 4,55</t>
  </si>
  <si>
    <t>25 * 0,01 * 9 * 60,73</t>
  </si>
  <si>
    <t>25 * 0,01 * 9 * 85,88</t>
  </si>
  <si>
    <t>"Повышение квалификации капитана" 72 часа</t>
  </si>
  <si>
    <t>"Подготовка при длительном перерыве в работе в должности капитана" 72 часа</t>
  </si>
  <si>
    <t>"Подготовка при длительном перерыве в работе в должности капитана скоростного судна" 72 часа</t>
  </si>
  <si>
    <t>"Повышение квалификации для старшего помощника капитана" 72 часа</t>
  </si>
  <si>
    <t>"Подготовка при длительном перерыве в работе в должности старшего помощника капитана" 72 часа</t>
  </si>
  <si>
    <t>"Подготовка при длительном перерыве в работе в должности старшего помощника капитана</t>
  </si>
  <si>
    <t>скоростного судна" 72 часа</t>
  </si>
  <si>
    <t>"Повышение квалификации механиков" 72 часа</t>
  </si>
  <si>
    <t>"Подготовка при длительном перерыве в работе в должности механика" 72 часа</t>
  </si>
  <si>
    <t>"Повышение квалификации первого помощника механика" 72 часа</t>
  </si>
  <si>
    <t>"Поготовка при длительном перерыве в работе в должности первого помощника механика" 72 часа</t>
  </si>
  <si>
    <t>"Поготовка при длительном перерыве в работе в должности помощника механика" 72 часа</t>
  </si>
  <si>
    <t>Поготовка по программе "Докмейстер" 72 часа</t>
  </si>
  <si>
    <t>"Повышение квалификации капитана-механика" 108 часов</t>
  </si>
  <si>
    <t>2399,62* 7600 * 0,054% : 365 дн.* 14 дн.</t>
  </si>
  <si>
    <t>((36 * 0,03) + (5* 0,6)) * 108 * 4,55</t>
  </si>
  <si>
    <t>25 * 0,01 * 14 * 60,73</t>
  </si>
  <si>
    <t>25 * 0,01 * 14 * 85,88</t>
  </si>
  <si>
    <t>108 * 432</t>
  </si>
  <si>
    <t>"Подготовка при длительном перерыве в работе в должности капитана-механика" 108 часов</t>
  </si>
  <si>
    <t>"Повышение квалификации капитана-механика скоростного судна" 108 часов</t>
  </si>
  <si>
    <t>"Повышение квалификации старшего помощника капитана-первого помощника механика" 108 часов</t>
  </si>
  <si>
    <t>"Подготовка при длительном перерыве в работе в должности старшего помощника капитана-первого помощника механика" 108 часов</t>
  </si>
  <si>
    <t>"Повышение квалификации старшего помощника капитана-первого помощника механика скоростного судна" 108 часов</t>
  </si>
  <si>
    <t>"Подготовка при длительном перерыве в работе в должности помощника капитана-помощника механика" 108 часов</t>
  </si>
  <si>
    <t>"Дополнительное профессиональное образование по углубленному изучению специальных дисциплин судоводительского и судомеханического циклов (ШКС)" 540 часов</t>
  </si>
  <si>
    <t>2399,62* 7600 * 0,054% : 365 дн.* 120 дн.</t>
  </si>
  <si>
    <t>((36 * 0,03) + (5* 0,6)) * 540 * 4,55</t>
  </si>
  <si>
    <t>25 * 0,01 * 120 * 60,73</t>
  </si>
  <si>
    <t>25 * 0,01 * 120 * 85,88</t>
  </si>
  <si>
    <t>540 * 432</t>
  </si>
  <si>
    <t>"Повышение квалификации командира земснаряда" 72 часа</t>
  </si>
  <si>
    <t>"Подготовка при длительном перерыве в работе в должности командира земснаряда" 72 часа</t>
  </si>
  <si>
    <t>"Повышение квалификации первого помощника командира земснаряда" 72 часа</t>
  </si>
  <si>
    <t>"Подготовка при длительном перерыве в работе в должности первого помощника командира земснаряда" 72 часа</t>
  </si>
  <si>
    <t>"Подготовка при длительном перерыве в работе в должности помощника командира земснаряда" 72 часа</t>
  </si>
  <si>
    <t>"Повышение квалификации командира земснаряда-механика" 112 часов</t>
  </si>
  <si>
    <t>((36 * 0,03) + (5* 0,6)) * 112 * 4,55</t>
  </si>
  <si>
    <t>112 * 432</t>
  </si>
  <si>
    <t>"Подготовка при длительном перерыве в работе в должности командира земснаряда-механика" 72 часа</t>
  </si>
  <si>
    <t>"Повышение квалификации первого помощника командира земснаряда-первого помощника механика" 112 часов</t>
  </si>
  <si>
    <t>"Подготовка при длительном перерыве в работе в должности первого помощника командира земснаряда-первого помощника механика" 72 часа</t>
  </si>
  <si>
    <t>"Подготовка при длительном перерыве в работе в должности первого помощника командира земснаряда- помощника механика" 72 часа</t>
  </si>
  <si>
    <t>"Повышение квалификации электромеханика" 72 часа</t>
  </si>
  <si>
    <t>"Подготовка при длительном перерыве в работе в должности электромеханика" 72 часа</t>
  </si>
  <si>
    <t>"Повышение квалификации первого помощника электромеханика" 72 часа</t>
  </si>
  <si>
    <t>"Подготовка при длительном перерыве в работе в должности первого помощника электромеханика" 80 часов</t>
  </si>
  <si>
    <t>2399,62* 7600 * 0,054% : 365 дн.* 10 дн.</t>
  </si>
  <si>
    <t>((36 * 0,03) + (5* 0,6)) * 80 * 4,55</t>
  </si>
  <si>
    <t>25 * 0,01 * 10 * 60,73</t>
  </si>
  <si>
    <t>25 * 0,01 * 10 * 85,88</t>
  </si>
  <si>
    <t>80 * 432</t>
  </si>
  <si>
    <t>"Подготовка при длительном перерыве в работе в должности помощника электромеханика" 68 часов</t>
  </si>
  <si>
    <t>((36 * 0,03) + (5* 0,6)) * 68 * 4,55</t>
  </si>
  <si>
    <t>68 * 432</t>
  </si>
  <si>
    <t>2399,62* 7600 * 0,054% : 365 дн.* 16 дн.</t>
  </si>
  <si>
    <t>((36 * 0,03) + (5* 0,6)) * 128 * 4,55</t>
  </si>
  <si>
    <t>25 * 0,01 * 16 * 60,73</t>
  </si>
  <si>
    <t>25 * 0,01 * 16 * 85,88</t>
  </si>
  <si>
    <t>128 * 432</t>
  </si>
  <si>
    <t>"Подготовка по управлению маломерным судном, используемым в коммерческих целях" 128 часов</t>
  </si>
  <si>
    <t>2399,62* 7600 * 0,054% : 365 дн.* 22 дн.</t>
  </si>
  <si>
    <t>25 * 0,01 * 22 * 60,73</t>
  </si>
  <si>
    <t>25 * 0,01 * 22 * 85,88</t>
  </si>
  <si>
    <t>180 * 432</t>
  </si>
  <si>
    <t>"Подготовка по программам: "Рулевой", "Моторист", "Матрос", "Лебедчик" 260 часов</t>
  </si>
  <si>
    <t>((36 * 0,03) + (5* 0,6)) * 260 * 4,55</t>
  </si>
  <si>
    <t>((36 * 0,03) + (5* 0,6)) * 180 * 4,55</t>
  </si>
  <si>
    <t>260 * 432</t>
  </si>
  <si>
    <t>2399,62* 7600 * 0,054% : 365 дн.* 34 дн.</t>
  </si>
  <si>
    <t>25 * 0,01 * 34 * 60,73</t>
  </si>
  <si>
    <t>25 * 0,01 * 34 * 85,88</t>
  </si>
  <si>
    <t>"Подготовка по программам: "Рулевой", "Моторист", "Матрос", "Лебедчик" (для студентов ВО ЯИВТ) 260 часов</t>
  </si>
  <si>
    <t>"Электрик судовой" 390 часов</t>
  </si>
  <si>
    <t>2399,62* 7600 * 0,054% : 365 дн.* 44 дн.</t>
  </si>
  <si>
    <t>((36 * 0,03) + (5* 0,6)) * 390 * 4,55</t>
  </si>
  <si>
    <t>25 * 0,01 * 44 * 60,73</t>
  </si>
  <si>
    <t>25 * 0,01 * 44 * 85,88</t>
  </si>
  <si>
    <t>390 * 432</t>
  </si>
  <si>
    <t>"Проводник на ВТ" 108 часов</t>
  </si>
  <si>
    <t>"Боцман" 40 часов</t>
  </si>
  <si>
    <t>2399,62* 7600 * 0,054% : 365 дн.* 5 дн.</t>
  </si>
  <si>
    <t>((36 * 0,03) + (5* 0,6)) * 40 * 4,55</t>
  </si>
  <si>
    <t>25 * 0,01 * 5 * 60,73</t>
  </si>
  <si>
    <t>25 * 0,01 * 5 * 85,88</t>
  </si>
  <si>
    <t>40 * 432</t>
  </si>
  <si>
    <t>"Подготовка по управлению неорганизованной массой людей на пассажирских судах с количеством пассажиров 12 и более - (командный состав)" 40 часов</t>
  </si>
  <si>
    <t>"Противопожарная подготовка членов экипажей судов внутреннего плавания" 28 часов</t>
  </si>
  <si>
    <t>2399,62* 7600 * 0,054% : 365 дн.* 4 дн.</t>
  </si>
  <si>
    <t>((36 * 0,03) + (5* 0,6)) * 28 * 4,55</t>
  </si>
  <si>
    <t>25 * 0,01 * 4 * 60,73</t>
  </si>
  <si>
    <t>25 * 0,01 * 4 * 85,88</t>
  </si>
  <si>
    <t>28 * 432</t>
  </si>
  <si>
    <t>"Противопожарная подготовка членов экипажей судов внутреннего плавания, осуществляющих перевозки взрыво-, пажароопасных грузов (командный состав)" 20 часов</t>
  </si>
  <si>
    <t>2399,62* 7600 * 0,054% : 365 дн.* 3 дн.</t>
  </si>
  <si>
    <t>((36 * 0,03) + (5* 0,6)) * 20 * 4,55</t>
  </si>
  <si>
    <t>25 * 0,01 * 3 * 60,73</t>
  </si>
  <si>
    <t>25 * 0,01 * 3 * 85,88</t>
  </si>
  <si>
    <t>20 * 432</t>
  </si>
  <si>
    <t>"Противопожарная подготовка членов экипажей судов внутреннего плавания, осуществляющих перевозки взрыво-, пажароопасных грузов (рядовой состав)" 16 часов</t>
  </si>
  <si>
    <t>2399,62* 7600 * 0,054% : 365 дн.* 2 дн.</t>
  </si>
  <si>
    <t>((36 * 0,03) + (5* 0,6)) * 16 * 4,55</t>
  </si>
  <si>
    <t>25 * 0,01 * 2 * 60,73</t>
  </si>
  <si>
    <t>25 * 0,01 * 2 * 85,88</t>
  </si>
  <si>
    <t>16 * 432</t>
  </si>
  <si>
    <t>"Подготовка для работы на нефтеных танкерах и управлению нефтяными операциями (командный состав)" 40 часов</t>
  </si>
  <si>
    <t>"Подготовка для работы на нефтеных танкерах (судовая команда)" 32 часов</t>
  </si>
  <si>
    <t>((36 * 0,03) + (5* 0,6)) * 32 * 4,55</t>
  </si>
  <si>
    <t>32 * 432</t>
  </si>
  <si>
    <t>"Тренажерная подготовка по использованию радиолокационной станции" 36 часов</t>
  </si>
  <si>
    <t>((36 * 0,03) + (5* 0,6)) * 36 * 4,55</t>
  </si>
  <si>
    <t>36 * 432</t>
  </si>
  <si>
    <t>"Тренажерная подготовка по использованию электронных карт" 36 часов</t>
  </si>
  <si>
    <t>"Перевозка опасных грузов на ВВТ" 40 часов</t>
  </si>
  <si>
    <t>"Организация погрузо-разгрузочных работ с опасными грузами на ВВТ" 40 часов</t>
  </si>
  <si>
    <t>"Работа в дыхательных аппаратах" 16 часов</t>
  </si>
  <si>
    <t>"Подготовка специалистов для работы с газоанализаторами" 16 часов</t>
  </si>
  <si>
    <t>"Подготовка по охране труда" 40 часов</t>
  </si>
  <si>
    <t>"Техническая эксплуатация и безопасность гидротехнических сооружений" 72 часа</t>
  </si>
  <si>
    <t>"Подготовка лиц ответственных за обеспечение безопасной эксплуатации судов по системе управление безопасностью (ЛООБЭС по СУБ)" 72 часа</t>
  </si>
  <si>
    <t>2399,62* 7600 * 0,054% : 365 дн.* 18 дн.</t>
  </si>
  <si>
    <t>((36 * 0,03) + (5* 0,6)) * 151 * 4,55</t>
  </si>
  <si>
    <t>25 * 0,01 * 18 * 60,73</t>
  </si>
  <si>
    <t>25 * 0,01 * 18 * 85,88</t>
  </si>
  <si>
    <t>151 * 432</t>
  </si>
  <si>
    <t>2399,62* 7600 * 0,054% : 365 дн.* 15 дн.</t>
  </si>
  <si>
    <t>"Подготовка судоводителей судов, подназорных ГИМС МЧС России (судно моторное/парусно-моторное судно/гидроцикл), район плавания МП/ВВП" 151 час</t>
  </si>
  <si>
    <t>((36 * 0,03) + (5* 0,6)) * 126 * 4,55</t>
  </si>
  <si>
    <t>25 * 0,01 * 15 * 60,73</t>
  </si>
  <si>
    <t>25 * 0,01 * 15 * 85,88</t>
  </si>
  <si>
    <t>126 * 432</t>
  </si>
  <si>
    <t>"Подготовка судоводителей судов, подназорных ГИМС МЧС России (судно моторное/парусно-моторное судно/гидроцикл), район плавания ВВП" 120 часов</t>
  </si>
  <si>
    <t>"Подготовка судоводителей судов, подназорных ГИМС МЧС России (судно моторное/парусно-моторное судно/гидроцикл), район плавания МП" 126 часов</t>
  </si>
  <si>
    <t>((36 * 0,03) + (5* 0,6)) * 120 * 4,55</t>
  </si>
  <si>
    <t>120 * 432</t>
  </si>
  <si>
    <t>((36 * 0,03) + (5* 0,6)) * 111 * 4,55</t>
  </si>
  <si>
    <t>"Подготовка судоводителей судов, подназорных ГИМС МЧС России (судно моторное/гидроцикл), район плавания МП/ВВП" 111 часов</t>
  </si>
  <si>
    <t>111 * 432</t>
  </si>
  <si>
    <t>"Подготовка судоводителей судов, подназорных ГИМС МЧС России (судно моторное/гидроцикл), район плавания МП" 86 часов</t>
  </si>
  <si>
    <t>((36 * 0,03) + (5* 0,6)) * 86 * 4,55</t>
  </si>
  <si>
    <t>86 * 432</t>
  </si>
  <si>
    <t>2399,62* 7600 * 0,054% : 365 дн.* 11 дн.</t>
  </si>
  <si>
    <t>25 * 0,01 * 11 * 85,88</t>
  </si>
  <si>
    <t>25 * 0,01 * 11 * 60,73</t>
  </si>
  <si>
    <t>"Подготовка судоводителей судов, подназорных ГИМС МЧС России (судно моторное/гидроцикл), район плавания ВВП" 80 часов</t>
  </si>
  <si>
    <t>"Подготовка судоводителей судов, подназорных ГИМС МЧС России (судно моторное), район плавания МП/ВВП" 106 часов</t>
  </si>
  <si>
    <t>2399,62* 7600 * 0,054% : 365 дн.* 13 дн.</t>
  </si>
  <si>
    <t>((36 * 0,03) + (5* 0,6)) * 106 * 4,55</t>
  </si>
  <si>
    <t>25 * 0,01 * 13 * 85,88</t>
  </si>
  <si>
    <t>25 * 0,01 * 13 * 60,73</t>
  </si>
  <si>
    <t>106 * 432</t>
  </si>
  <si>
    <t>"Подготовка судоводителей судов, подназорных ГИМС МЧС России (судно моторное), район плавания МП" 81 час</t>
  </si>
  <si>
    <t>((36 * 0,03) + (5* 0,6)) * 81 * 4,55</t>
  </si>
  <si>
    <t>81 * 432</t>
  </si>
  <si>
    <t>"Подготовка судоводителей судов, подназорных ГИМС МЧС России (судно моторное), район плавания ВВП" 75 часов</t>
  </si>
  <si>
    <t>((36 * 0,03) + (5* 0,6)) * 75 * 4,55</t>
  </si>
  <si>
    <t>75 * 432</t>
  </si>
  <si>
    <t>"Подготовка судоводителей судов, подназорных ГИМС МЧС России (гидроцикл), район плавания МП/ВВП" 39 часов</t>
  </si>
  <si>
    <t>((36 * 0,03) + (5* 0,6)) * 39 * 4,55</t>
  </si>
  <si>
    <t>39 * 432</t>
  </si>
  <si>
    <t>"Подготовка судоводителей судов, подназорных ГИМС МЧС России (гидроцикл), район плавания МП/ВВП" 40 часов</t>
  </si>
  <si>
    <t>"Подготовка судоводителей судов, подназорных ГИМС МЧС России (судно особой конструкции), район плавания МП/ВВП" 72 часа</t>
  </si>
  <si>
    <t>"Подготовка по программе матрос-спасатель" 44 часа</t>
  </si>
  <si>
    <t>2399,62* 7600 * 0,054% : 365 дн.* 6 дн.</t>
  </si>
  <si>
    <t>((36 * 0,03) + (5* 0,6)) * 44 * 4,55</t>
  </si>
  <si>
    <t>25 * 0,01 * 6 * 60,73</t>
  </si>
  <si>
    <t>25 * 0,01 * 6 * 85,88</t>
  </si>
  <si>
    <t>44 * 432</t>
  </si>
  <si>
    <t xml:space="preserve">                          "01" марта 2021 г.</t>
  </si>
  <si>
    <t>"Подготовка по управлению прогулочным судном" 180 часов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</si>
</sst>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0_р_._-;\-* #,##0.000_р_._-;_-* &quot;-&quot;??_р_._-;_-@_-"/>
    <numFmt numFmtId="181" formatCode="0.0000000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0.0"/>
    <numFmt numFmtId="186" formatCode="0.000"/>
    <numFmt numFmtId="187" formatCode="#,##0.0"/>
    <numFmt numFmtId="188" formatCode="#,##0.0;[Red]#,##0.0"/>
    <numFmt numFmtId="189" formatCode="0.0;[Red]0.0"/>
    <numFmt numFmtId="190" formatCode="[$-FC19]d\ mmmm\ yyyy\ &quot;г.&quot;"/>
    <numFmt numFmtId="191" formatCode="0.0%"/>
    <numFmt numFmtId="192" formatCode="#,##0.00;[Red]#,##0.00"/>
    <numFmt numFmtId="193" formatCode="#,##0;[Red]#,##0"/>
    <numFmt numFmtId="194" formatCode="0.000%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&quot;р.&quot;"/>
    <numFmt numFmtId="200" formatCode="[$-FC19]dddd\ d\ mmmm\ yyyy&quot;г.&quot;"/>
    <numFmt numFmtId="201" formatCode="0;[Red]0"/>
    <numFmt numFmtId="202" formatCode="0.000000"/>
    <numFmt numFmtId="203" formatCode="0.00000"/>
    <numFmt numFmtId="204" formatCode="0.0000"/>
    <numFmt numFmtId="205" formatCode="#,##0.000;[Red]#,##0.000"/>
    <numFmt numFmtId="206" formatCode="0.00000000"/>
    <numFmt numFmtId="207" formatCode="0.0000%"/>
    <numFmt numFmtId="208" formatCode="0.00000%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Alignment="1">
      <alignment/>
    </xf>
    <xf numFmtId="193" fontId="1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93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93" fontId="2" fillId="33" borderId="0" xfId="0" applyNumberFormat="1" applyFont="1" applyFill="1" applyAlignment="1">
      <alignment/>
    </xf>
    <xf numFmtId="19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D41" sqref="D41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60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69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A10" sqref="A10:K10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70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71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3">
      <selection activeCell="A10" sqref="A10:K10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72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H79" sqref="H79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73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74</v>
      </c>
      <c r="H20" s="17">
        <f>E15*E16*0.054/365*14</f>
        <v>37773.30595068493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108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75</v>
      </c>
      <c r="H30" s="17">
        <f>SUM((E23*E24)+(E25*E26))*E27*E28</f>
        <v>2063.88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14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76</v>
      </c>
      <c r="H38" s="17">
        <f>SUM(E33*E34*E35*E36)</f>
        <v>212.55499999999998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14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77</v>
      </c>
      <c r="H46" s="17">
        <f>SUM(E41*E42*E43*E44)</f>
        <v>300.58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40350.32095068493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108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78</v>
      </c>
      <c r="H55" s="17">
        <f>E52*E53</f>
        <v>46656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(16000*25)*25%</f>
        <v>100000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146656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146656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44290.112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(16794*25)*15%</f>
        <v>62977.5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(16794*25)*25%</f>
        <v>104962.5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400007.1829506849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16000.287318027396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0">
      <selection activeCell="H14" sqref="H14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79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74</v>
      </c>
      <c r="H20" s="17">
        <f>E15*E16*0.054/365*14</f>
        <v>37773.30595068493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108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75</v>
      </c>
      <c r="H30" s="17">
        <f>SUM((E23*E24)+(E25*E26))*E27*E28</f>
        <v>2063.88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14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76</v>
      </c>
      <c r="H38" s="17">
        <f>SUM(E33*E34*E35*E36)</f>
        <v>212.55499999999998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14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77</v>
      </c>
      <c r="H46" s="17">
        <f>SUM(E41*E42*E43*E44)</f>
        <v>300.58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40350.32095068493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108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78</v>
      </c>
      <c r="H55" s="17">
        <f>E52*E53</f>
        <v>46656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(16000*25)*25%</f>
        <v>100000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146656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146656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44290.112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(16794*25)*15%</f>
        <v>62977.5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(16794*25)*25%</f>
        <v>104962.5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400007.1829506849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16000.287318027396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A10" sqref="A10:K10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80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74</v>
      </c>
      <c r="H20" s="17">
        <f>E15*E16*0.054/365*14</f>
        <v>37773.30595068493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108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75</v>
      </c>
      <c r="H30" s="17">
        <f>SUM((E23*E24)+(E25*E26))*E27*E28</f>
        <v>2063.88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14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76</v>
      </c>
      <c r="H38" s="17">
        <f>SUM(E33*E34*E35*E36)</f>
        <v>212.55499999999998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14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77</v>
      </c>
      <c r="H46" s="17">
        <f>SUM(E41*E42*E43*E44)</f>
        <v>300.58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40350.32095068493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108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78</v>
      </c>
      <c r="H55" s="17">
        <f>E52*E53</f>
        <v>46656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(16000*25)*25%</f>
        <v>100000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146656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146656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44290.112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(16794*25)*15%</f>
        <v>62977.5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(16794*25)*25%</f>
        <v>104962.5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400007.1829506849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16000.287318027396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81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74</v>
      </c>
      <c r="H20" s="17">
        <f>E15*E16*0.054/365*14</f>
        <v>37773.30595068493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108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75</v>
      </c>
      <c r="H30" s="17">
        <f>SUM((E23*E24)+(E25*E26))*E27*E28</f>
        <v>2063.88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14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76</v>
      </c>
      <c r="H38" s="17">
        <f>SUM(E33*E34*E35*E36)</f>
        <v>212.55499999999998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14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77</v>
      </c>
      <c r="H46" s="17">
        <f>SUM(E41*E42*E43*E44)</f>
        <v>300.58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40350.32095068493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108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78</v>
      </c>
      <c r="H55" s="17">
        <f>E52*E53</f>
        <v>46656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(16000*25)*25%</f>
        <v>100000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146656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146656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44290.112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(16794*25)*15%</f>
        <v>62977.5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(16794*25)*25%</f>
        <v>104962.5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400007.1829506849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16000.287318027396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7" customHeight="1">
      <c r="A10" s="32" t="s">
        <v>82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74</v>
      </c>
      <c r="H20" s="17">
        <f>E15*E16*0.054/365*14</f>
        <v>37773.30595068493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108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75</v>
      </c>
      <c r="H30" s="17">
        <f>SUM((E23*E24)+(E25*E26))*E27*E28</f>
        <v>2063.88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14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76</v>
      </c>
      <c r="H38" s="17">
        <f>SUM(E33*E34*E35*E36)</f>
        <v>212.55499999999998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14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77</v>
      </c>
      <c r="H46" s="17">
        <f>SUM(E41*E42*E43*E44)</f>
        <v>300.58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40350.32095068493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108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78</v>
      </c>
      <c r="H55" s="17">
        <f>E52*E53</f>
        <v>46656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(16000*25)*25%</f>
        <v>100000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146656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146656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44290.112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(16794*25)*15%</f>
        <v>62977.5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(16794*25)*25%</f>
        <v>104962.5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400007.1829506849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16000.287318027396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7" customHeight="1">
      <c r="A10" s="32" t="s">
        <v>83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74</v>
      </c>
      <c r="H20" s="17">
        <f>E15*E16*0.054/365*14</f>
        <v>37773.30595068493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108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75</v>
      </c>
      <c r="H30" s="17">
        <f>SUM((E23*E24)+(E25*E26))*E27*E28</f>
        <v>2063.88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14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76</v>
      </c>
      <c r="H38" s="17">
        <f>SUM(E33*E34*E35*E36)</f>
        <v>212.55499999999998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14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77</v>
      </c>
      <c r="H46" s="17">
        <f>SUM(E41*E42*E43*E44)</f>
        <v>300.58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40350.32095068493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108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78</v>
      </c>
      <c r="H55" s="17">
        <f>E52*E53</f>
        <v>46656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(16000*25)*25%</f>
        <v>100000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146656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146656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44290.112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(16794*25)*15%</f>
        <v>62977.5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(16794*25)*25%</f>
        <v>104962.5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400007.1829506849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16000.287318027396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61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13.50390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3" t="s">
        <v>84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74</v>
      </c>
      <c r="H20" s="17">
        <f>E15*E16*0.054/365*14</f>
        <v>37773.30595068493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108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75</v>
      </c>
      <c r="H30" s="17">
        <f>SUM((E23*E24)+(E25*E26))*E27*E28</f>
        <v>2063.88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14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76</v>
      </c>
      <c r="H38" s="17">
        <f>SUM(E33*E34*E35*E36)</f>
        <v>212.55499999999998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14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77</v>
      </c>
      <c r="H46" s="17">
        <f>SUM(E41*E42*E43*E44)</f>
        <v>300.58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40350.32095068493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108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78</v>
      </c>
      <c r="H55" s="17">
        <f>E52*E53</f>
        <v>46656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(16000*25)*25%</f>
        <v>100000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146656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146656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44290.112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(16794*25)*15%</f>
        <v>62977.5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(16794*25)*25%</f>
        <v>104962.5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400007.1829506849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16000.287318027396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79"/>
  <sheetViews>
    <sheetView zoomScalePageLayoutView="0" workbookViewId="0" topLeftCell="A7">
      <selection activeCell="F78" sqref="F78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13.50390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7" customHeight="1">
      <c r="A10" s="33" t="s">
        <v>85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86</v>
      </c>
      <c r="H20" s="17">
        <f>E15*E16*0.054/365*120</f>
        <v>323771.1938630137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540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87</v>
      </c>
      <c r="H30" s="17">
        <f>SUM((E23*E24)+(E25*E26))*E27*E28</f>
        <v>10319.4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120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88</v>
      </c>
      <c r="H38" s="17">
        <f>SUM(E33*E34*E35*E36)</f>
        <v>1821.8999999999999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120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89</v>
      </c>
      <c r="H46" s="17">
        <f>SUM(E41*E42*E43*E44)</f>
        <v>2576.3999999999996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338488.8938630138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540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90</v>
      </c>
      <c r="H55" s="17">
        <f>E52*E53</f>
        <v>233280</v>
      </c>
    </row>
    <row r="56" spans="2:8" ht="12.75">
      <c r="B56" s="5"/>
      <c r="H56" s="17"/>
    </row>
    <row r="57" spans="1:9" ht="12.75">
      <c r="A57" s="21"/>
      <c r="B57" s="24" t="s">
        <v>28</v>
      </c>
      <c r="C57" s="21"/>
      <c r="D57" s="21"/>
      <c r="E57" s="21"/>
      <c r="F57" s="21"/>
      <c r="G57" s="21"/>
      <c r="H57" s="23">
        <f>H55</f>
        <v>233280</v>
      </c>
      <c r="I57" s="21"/>
    </row>
    <row r="58" spans="2:8" ht="12.75">
      <c r="B58" s="5"/>
      <c r="H58" s="17"/>
    </row>
    <row r="59" spans="1:9" ht="12.75">
      <c r="A59" s="3" t="s">
        <v>29</v>
      </c>
      <c r="B59" s="9" t="s">
        <v>30</v>
      </c>
      <c r="C59" s="3"/>
      <c r="D59" s="3"/>
      <c r="E59" s="3"/>
      <c r="F59" s="3"/>
      <c r="G59" s="3"/>
      <c r="H59" s="17"/>
      <c r="I59" s="3"/>
    </row>
    <row r="60" spans="2:8" ht="12.75">
      <c r="B60" s="5"/>
      <c r="H60" s="17"/>
    </row>
    <row r="61" spans="2:8" ht="12.75">
      <c r="B61" s="5"/>
      <c r="C61" t="s">
        <v>23</v>
      </c>
      <c r="E61" s="18">
        <f>H57</f>
        <v>233280</v>
      </c>
      <c r="H61" s="17"/>
    </row>
    <row r="62" spans="2:8" ht="12.75">
      <c r="B62" s="5"/>
      <c r="C62" t="s">
        <v>31</v>
      </c>
      <c r="E62" s="16">
        <v>0.302</v>
      </c>
      <c r="H62" s="17"/>
    </row>
    <row r="63" spans="2:8" ht="12.75">
      <c r="B63" s="5"/>
      <c r="E63" s="16"/>
      <c r="H63" s="17"/>
    </row>
    <row r="64" spans="1:9" ht="12.75">
      <c r="A64" s="22"/>
      <c r="B64" s="24" t="s">
        <v>32</v>
      </c>
      <c r="C64" s="21"/>
      <c r="D64" s="21"/>
      <c r="E64" s="21"/>
      <c r="F64" s="22"/>
      <c r="G64" s="22"/>
      <c r="H64" s="23">
        <f>SUM(E61*E62)</f>
        <v>70450.56</v>
      </c>
      <c r="I64" s="22"/>
    </row>
    <row r="65" spans="2:8" ht="12.75">
      <c r="B65" s="5"/>
      <c r="H65" s="17"/>
    </row>
    <row r="66" spans="1:8" ht="12.75">
      <c r="A66" s="3" t="s">
        <v>33</v>
      </c>
      <c r="B66" s="9" t="s">
        <v>34</v>
      </c>
      <c r="C66" s="3"/>
      <c r="D66" s="3"/>
      <c r="E66" s="3"/>
      <c r="F66" s="3"/>
      <c r="G66" s="3"/>
      <c r="H66" s="17"/>
    </row>
    <row r="67" spans="2:8" ht="12.75">
      <c r="B67" s="5"/>
      <c r="H67" s="17"/>
    </row>
    <row r="68" spans="2:8" ht="12.75">
      <c r="B68" s="5"/>
      <c r="C68" t="s">
        <v>35</v>
      </c>
      <c r="E68">
        <v>30.83</v>
      </c>
      <c r="H68" s="17"/>
    </row>
    <row r="69" spans="2:8" ht="12.75">
      <c r="B69" s="5"/>
      <c r="C69" t="s">
        <v>17</v>
      </c>
      <c r="E69">
        <v>25</v>
      </c>
      <c r="H69" s="17"/>
    </row>
    <row r="70" spans="2:8" ht="12.75">
      <c r="B70" s="5"/>
      <c r="H70" s="17"/>
    </row>
    <row r="71" spans="1:9" ht="12.75">
      <c r="A71" s="22"/>
      <c r="B71" s="24" t="s">
        <v>36</v>
      </c>
      <c r="C71" s="21"/>
      <c r="D71" s="21"/>
      <c r="E71" s="21"/>
      <c r="F71" s="21"/>
      <c r="G71" s="21"/>
      <c r="H71" s="23">
        <f>E68*E69</f>
        <v>770.75</v>
      </c>
      <c r="I71" s="22"/>
    </row>
    <row r="72" spans="2:12" ht="12.75">
      <c r="B72" s="5"/>
      <c r="H72" s="17"/>
      <c r="L72" s="18"/>
    </row>
    <row r="73" spans="1:8" ht="12.75">
      <c r="A73" s="3" t="s">
        <v>46</v>
      </c>
      <c r="B73" s="5" t="s">
        <v>38</v>
      </c>
      <c r="E73" s="1"/>
      <c r="G73" s="1">
        <v>0.1</v>
      </c>
      <c r="H73" s="17">
        <f>(24323*25)*10%</f>
        <v>60807.5</v>
      </c>
    </row>
    <row r="74" spans="1:8" ht="12.75">
      <c r="A74" s="3" t="s">
        <v>49</v>
      </c>
      <c r="B74" s="5" t="s">
        <v>51</v>
      </c>
      <c r="E74" s="1"/>
      <c r="G74" s="1">
        <v>0.15</v>
      </c>
      <c r="H74" s="17">
        <f>(24323*25)*15%</f>
        <v>91211.25</v>
      </c>
    </row>
    <row r="75" spans="1:9" ht="13.5">
      <c r="A75" s="12"/>
      <c r="B75" s="13"/>
      <c r="C75" s="10"/>
      <c r="D75" s="12"/>
      <c r="E75" s="12"/>
      <c r="F75" s="12"/>
      <c r="G75" s="11"/>
      <c r="H75" s="19"/>
      <c r="I75" s="12"/>
    </row>
    <row r="76" spans="1:9" ht="13.5">
      <c r="A76" s="21"/>
      <c r="B76" s="25" t="s">
        <v>37</v>
      </c>
      <c r="C76" s="26"/>
      <c r="D76" s="26"/>
      <c r="E76" s="26"/>
      <c r="F76" s="26"/>
      <c r="G76" s="26"/>
      <c r="H76" s="27">
        <f>H48+H57+H64+H71+H73+H74</f>
        <v>795008.9538630138</v>
      </c>
      <c r="I76" s="21"/>
    </row>
    <row r="77" spans="1:9" ht="13.5">
      <c r="A77" s="12"/>
      <c r="B77" s="13"/>
      <c r="C77" s="12"/>
      <c r="D77" s="12"/>
      <c r="E77" s="12"/>
      <c r="F77" s="12"/>
      <c r="G77" s="12"/>
      <c r="H77" s="19"/>
      <c r="I77" s="12"/>
    </row>
    <row r="78" spans="2:9" ht="13.5">
      <c r="B78" s="5"/>
      <c r="C78" s="12" t="s">
        <v>39</v>
      </c>
      <c r="D78" s="12"/>
      <c r="E78" s="12"/>
      <c r="F78" s="12"/>
      <c r="G78" s="12"/>
      <c r="H78" s="19">
        <f>H76/25</f>
        <v>31800.358154520552</v>
      </c>
      <c r="I78" s="12"/>
    </row>
    <row r="79" spans="2:8" ht="12.75">
      <c r="B79" s="5"/>
      <c r="H79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6">
      <selection activeCell="H14" sqref="H14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91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92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J40" sqref="J40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93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L30" sqref="L30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11.1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94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11.1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95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J80" sqref="J80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96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74</v>
      </c>
      <c r="H20" s="17">
        <f>E15*E16*0.054/365*14</f>
        <v>37773.30595068493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112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97</v>
      </c>
      <c r="H30" s="17">
        <f>SUM((E23*E24)+(E25*E26))*E27*E28</f>
        <v>2140.32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14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76</v>
      </c>
      <c r="H38" s="17">
        <f>SUM(E33*E34*E35*E36)</f>
        <v>212.55499999999998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14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77</v>
      </c>
      <c r="H46" s="17">
        <f>SUM(E41*E42*E43*E44)</f>
        <v>300.58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40426.76095068493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112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98</v>
      </c>
      <c r="H55" s="17">
        <f>E52*E53</f>
        <v>48384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(16300*25)*25%</f>
        <v>101875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150259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150259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45378.218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(17067*25)*15%</f>
        <v>64001.25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(17067*25)*25%</f>
        <v>106668.75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407504.7289506849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16300.189158027395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3">
      <selection activeCell="J19" sqref="J19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11.1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99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A10" sqref="A10:K10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0" max="10" width="9.125" style="0" customWidth="1"/>
    <col min="11" max="11" width="2.50390625" style="0" hidden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6.25" customHeight="1">
      <c r="A10" s="32" t="s">
        <v>100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74</v>
      </c>
      <c r="H20" s="17">
        <f>E15*E16*0.054/365*14</f>
        <v>37773.30595068493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112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97</v>
      </c>
      <c r="H30" s="17">
        <f>SUM((E23*E24)+(E25*E26))*E27*E28</f>
        <v>2140.32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14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76</v>
      </c>
      <c r="H38" s="17">
        <f>SUM(E33*E34*E35*E36)</f>
        <v>212.55499999999998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14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77</v>
      </c>
      <c r="H46" s="17">
        <f>SUM(E41*E42*E43*E44)</f>
        <v>300.58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40426.76095068493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112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98</v>
      </c>
      <c r="H55" s="17">
        <f>E52*E53</f>
        <v>48384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(16300*25)*25%</f>
        <v>101875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150259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150259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45378.218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(17067*25)*15%</f>
        <v>64001.25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(17067*25)*25%</f>
        <v>106668.75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407504.7289506849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16300.189158027395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I43" sqref="I43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62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7">
      <selection activeCell="L32" sqref="L32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6.25" customHeight="1">
      <c r="A10" s="32" t="s">
        <v>101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7">
      <selection activeCell="G14" sqref="G14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6.25" customHeight="1">
      <c r="A10" s="32" t="s">
        <v>102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7">
      <selection activeCell="A10" sqref="A10:K10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2" t="s">
        <v>103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7">
      <selection activeCell="H14" sqref="H14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2" t="s">
        <v>104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7">
      <selection activeCell="H14" sqref="H14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2" t="s">
        <v>105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7">
      <selection activeCell="I83" sqref="I83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2" t="s">
        <v>106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107</v>
      </c>
      <c r="H20" s="17">
        <f>E15*E16*0.054/365*10</f>
        <v>26980.93282191781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108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10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109</v>
      </c>
      <c r="H38" s="17">
        <f>SUM(E33*E34*E35*E36)</f>
        <v>151.825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10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110</v>
      </c>
      <c r="H46" s="17">
        <f>SUM(E41*E42*E43*E44)</f>
        <v>214.7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28723.377821917813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80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111</v>
      </c>
      <c r="H55" s="17">
        <f>E52*E53</f>
        <v>34560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103310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103310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31199.62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(11100*25)*15%</f>
        <v>41625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(11100*25)*25%</f>
        <v>69375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275003.7478219178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11000.149912876712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6">
      <selection activeCell="H82" sqref="H82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2" t="s">
        <v>112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113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68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114</v>
      </c>
      <c r="H55" s="17">
        <f>E52*E53</f>
        <v>29376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98126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98126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29634.052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(12049*25)*15%</f>
        <v>45183.75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(12049*25)*25%</f>
        <v>75306.25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275009.43403972604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11000.377361589042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6">
      <selection activeCell="O50" sqref="O50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0" max="10" width="9.125" style="0" customWidth="1"/>
    <col min="11" max="11" width="2.50390625" style="0" hidden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4" t="s">
        <v>120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115</v>
      </c>
      <c r="H20" s="17">
        <f>E15*E16*0.054/365*16</f>
        <v>43169.492515068494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128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116</v>
      </c>
      <c r="H30" s="17">
        <f>SUM((E23*E24)+(E25*E26))*E27*E28</f>
        <v>2446.08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16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117</v>
      </c>
      <c r="H38" s="17">
        <f>SUM(E33*E34*E35*E36)</f>
        <v>242.92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16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118</v>
      </c>
      <c r="H46" s="17">
        <f>SUM(E41*E42*E43*E44)</f>
        <v>343.52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46202.01251506849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128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119</v>
      </c>
      <c r="H55" s="17">
        <f>E52*E53</f>
        <v>55296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(15000*25)*25%</f>
        <v>93750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149046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149046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45011.892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(15898*25)*15%</f>
        <v>59617.5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(15898*25)*25%</f>
        <v>99362.5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400010.6545150685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16000.42618060274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A11" sqref="A11:K11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0" max="10" width="9.125" style="0" customWidth="1"/>
    <col min="11" max="11" width="2.50390625" style="0" hidden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4" t="s">
        <v>229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121</v>
      </c>
      <c r="H20" s="17">
        <f>E15*E16*0.054/365*22</f>
        <v>59358.05220821918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180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127</v>
      </c>
      <c r="H30" s="17">
        <f>SUM((E23*E24)+(E25*E26))*E27*E28</f>
        <v>3439.7999999999997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22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122</v>
      </c>
      <c r="H38" s="17">
        <f>SUM(E33*E34*E35*E36)</f>
        <v>334.015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22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123</v>
      </c>
      <c r="H46" s="17">
        <f>SUM(E41*E42*E43*E44)</f>
        <v>472.34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63604.20720821918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180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124</v>
      </c>
      <c r="H55" s="17">
        <f>E52*E53</f>
        <v>77760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(18000*25)*25%</f>
        <v>112500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190260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190260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57458.52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</v>
      </c>
      <c r="H76" s="17">
        <f>(18389*25)*10%</f>
        <v>45972.5</v>
      </c>
    </row>
    <row r="77" spans="1:8" ht="12.75">
      <c r="A77" s="3" t="s">
        <v>49</v>
      </c>
      <c r="B77" s="5" t="s">
        <v>51</v>
      </c>
      <c r="E77" s="1"/>
      <c r="G77" s="1">
        <v>0.2</v>
      </c>
      <c r="H77" s="17">
        <f>(18389*25)*20%</f>
        <v>91945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450010.9772082192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18000.439088328767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37">
      <selection activeCell="H77" sqref="H77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0" max="10" width="9.125" style="0" customWidth="1"/>
    <col min="11" max="11" width="2.50390625" style="0" hidden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4" t="s">
        <v>125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129</v>
      </c>
      <c r="H20" s="17">
        <f>E15*E16*0.054/365*34</f>
        <v>91735.17159452055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260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126</v>
      </c>
      <c r="H30" s="17">
        <f>SUM((E23*E24)+(E25*E26))*E27*E28</f>
        <v>4968.599999999999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34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130</v>
      </c>
      <c r="H38" s="17">
        <f>SUM(E33*E34*E35*E36)</f>
        <v>516.2049999999999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34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131</v>
      </c>
      <c r="H46" s="17">
        <f>SUM(E41*E42*E43*E44)</f>
        <v>729.98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97949.95659452055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260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128</v>
      </c>
      <c r="H55" s="17">
        <f>E52*E53</f>
        <v>112320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(23598*25)*25%</f>
        <v>147487.5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259807.5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259807.5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78461.86499999999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</v>
      </c>
      <c r="H76" s="17">
        <f>(20393*25)*10%</f>
        <v>50982.5</v>
      </c>
    </row>
    <row r="77" spans="1:8" ht="12.75">
      <c r="A77" s="3" t="s">
        <v>49</v>
      </c>
      <c r="B77" s="5" t="s">
        <v>51</v>
      </c>
      <c r="E77" s="1"/>
      <c r="G77" s="1">
        <v>0.2</v>
      </c>
      <c r="H77" s="17">
        <f>(20393*25)*20%</f>
        <v>101965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589937.5715945205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23597.502863780817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">
      <selection activeCell="H28" sqref="H28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63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79"/>
  <sheetViews>
    <sheetView zoomScalePageLayoutView="0" workbookViewId="0" topLeftCell="A4">
      <selection activeCell="F14" sqref="F14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0" max="10" width="9.125" style="0" customWidth="1"/>
    <col min="11" max="11" width="2.50390625" style="0" hidden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8.5" customHeight="1">
      <c r="A10" s="34" t="s">
        <v>132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129</v>
      </c>
      <c r="H20" s="17">
        <f>E15*E16*0.054/365*34</f>
        <v>91735.17159452055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260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126</v>
      </c>
      <c r="H30" s="17">
        <f>SUM((E23*E24)+(E25*E26))*E27*E28</f>
        <v>4968.599999999999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34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130</v>
      </c>
      <c r="H38" s="17">
        <f>SUM(E33*E34*E35*E36)</f>
        <v>516.2049999999999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34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131</v>
      </c>
      <c r="H46" s="17">
        <f>SUM(E41*E42*E43*E44)</f>
        <v>729.98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97949.95659452055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260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128</v>
      </c>
      <c r="H55" s="17">
        <f>E52*E53</f>
        <v>112320</v>
      </c>
    </row>
    <row r="56" spans="2:8" ht="12.75">
      <c r="B56" s="5"/>
      <c r="H56" s="17"/>
    </row>
    <row r="57" spans="1:9" ht="12.75">
      <c r="A57" s="21"/>
      <c r="B57" s="24" t="s">
        <v>28</v>
      </c>
      <c r="C57" s="21"/>
      <c r="D57" s="21"/>
      <c r="E57" s="21"/>
      <c r="F57" s="21"/>
      <c r="G57" s="21"/>
      <c r="H57" s="23">
        <f>H55</f>
        <v>112320</v>
      </c>
      <c r="I57" s="21"/>
    </row>
    <row r="58" spans="2:8" ht="12.75">
      <c r="B58" s="5"/>
      <c r="H58" s="17"/>
    </row>
    <row r="59" spans="1:9" ht="12.75">
      <c r="A59" s="3" t="s">
        <v>29</v>
      </c>
      <c r="B59" s="9" t="s">
        <v>30</v>
      </c>
      <c r="C59" s="3"/>
      <c r="D59" s="3"/>
      <c r="E59" s="3"/>
      <c r="F59" s="3"/>
      <c r="G59" s="3"/>
      <c r="H59" s="17"/>
      <c r="I59" s="3"/>
    </row>
    <row r="60" spans="2:8" ht="12.75">
      <c r="B60" s="5"/>
      <c r="H60" s="17"/>
    </row>
    <row r="61" spans="2:8" ht="12.75">
      <c r="B61" s="5"/>
      <c r="C61" t="s">
        <v>23</v>
      </c>
      <c r="E61" s="18">
        <f>H57</f>
        <v>112320</v>
      </c>
      <c r="H61" s="17"/>
    </row>
    <row r="62" spans="2:8" ht="12.75">
      <c r="B62" s="5"/>
      <c r="C62" t="s">
        <v>31</v>
      </c>
      <c r="E62" s="16">
        <v>0.302</v>
      </c>
      <c r="H62" s="17"/>
    </row>
    <row r="63" spans="2:8" ht="12.75">
      <c r="B63" s="5"/>
      <c r="E63" s="16"/>
      <c r="H63" s="17"/>
    </row>
    <row r="64" spans="1:9" ht="12.75">
      <c r="A64" s="22"/>
      <c r="B64" s="24" t="s">
        <v>32</v>
      </c>
      <c r="C64" s="21"/>
      <c r="D64" s="21"/>
      <c r="E64" s="21"/>
      <c r="F64" s="22"/>
      <c r="G64" s="22"/>
      <c r="H64" s="23">
        <f>SUM(E61*E62)</f>
        <v>33920.64</v>
      </c>
      <c r="I64" s="22"/>
    </row>
    <row r="65" spans="2:8" ht="12.75">
      <c r="B65" s="5"/>
      <c r="H65" s="17"/>
    </row>
    <row r="66" spans="1:8" ht="12.75">
      <c r="A66" s="3" t="s">
        <v>33</v>
      </c>
      <c r="B66" s="9" t="s">
        <v>34</v>
      </c>
      <c r="C66" s="3"/>
      <c r="D66" s="3"/>
      <c r="E66" s="3"/>
      <c r="F66" s="3"/>
      <c r="G66" s="3"/>
      <c r="H66" s="17"/>
    </row>
    <row r="67" spans="2:8" ht="12.75">
      <c r="B67" s="5"/>
      <c r="H67" s="17"/>
    </row>
    <row r="68" spans="2:8" ht="12.75">
      <c r="B68" s="5"/>
      <c r="C68" t="s">
        <v>35</v>
      </c>
      <c r="E68">
        <v>30.83</v>
      </c>
      <c r="H68" s="17"/>
    </row>
    <row r="69" spans="2:8" ht="12.75">
      <c r="B69" s="5"/>
      <c r="C69" t="s">
        <v>17</v>
      </c>
      <c r="E69">
        <v>25</v>
      </c>
      <c r="H69" s="17"/>
    </row>
    <row r="70" spans="2:8" ht="12.75">
      <c r="B70" s="5"/>
      <c r="H70" s="17"/>
    </row>
    <row r="71" spans="1:9" ht="12.75">
      <c r="A71" s="22"/>
      <c r="B71" s="24" t="s">
        <v>36</v>
      </c>
      <c r="C71" s="21"/>
      <c r="D71" s="21"/>
      <c r="E71" s="21"/>
      <c r="F71" s="21"/>
      <c r="G71" s="21"/>
      <c r="H71" s="23">
        <f>E68*E69</f>
        <v>770.75</v>
      </c>
      <c r="I71" s="22"/>
    </row>
    <row r="72" spans="2:12" ht="12.75">
      <c r="B72" s="5"/>
      <c r="H72" s="17"/>
      <c r="L72" s="18"/>
    </row>
    <row r="73" spans="1:8" ht="12.75">
      <c r="A73" s="3" t="s">
        <v>46</v>
      </c>
      <c r="B73" s="5" t="s">
        <v>38</v>
      </c>
      <c r="E73" s="1"/>
      <c r="G73" s="1">
        <v>0.05</v>
      </c>
      <c r="H73" s="17">
        <f>(11346*25)*5%</f>
        <v>14182.5</v>
      </c>
    </row>
    <row r="74" spans="1:8" ht="12.75">
      <c r="A74" s="3" t="s">
        <v>49</v>
      </c>
      <c r="B74" s="5" t="s">
        <v>51</v>
      </c>
      <c r="E74" s="1"/>
      <c r="G74" s="1">
        <v>0.1</v>
      </c>
      <c r="H74" s="17">
        <f>(11346*25)*10%</f>
        <v>28365</v>
      </c>
    </row>
    <row r="75" spans="1:9" ht="13.5">
      <c r="A75" s="12"/>
      <c r="B75" s="13"/>
      <c r="C75" s="10"/>
      <c r="D75" s="12"/>
      <c r="E75" s="12"/>
      <c r="F75" s="12"/>
      <c r="G75" s="11"/>
      <c r="H75" s="19"/>
      <c r="I75" s="12"/>
    </row>
    <row r="76" spans="1:9" ht="13.5">
      <c r="A76" s="21"/>
      <c r="B76" s="25" t="s">
        <v>37</v>
      </c>
      <c r="C76" s="26"/>
      <c r="D76" s="26"/>
      <c r="E76" s="26"/>
      <c r="F76" s="26"/>
      <c r="G76" s="26"/>
      <c r="H76" s="27">
        <f>H48+H57+H64+H71+H73+H74</f>
        <v>287508.84659452055</v>
      </c>
      <c r="I76" s="21"/>
    </row>
    <row r="77" spans="1:9" ht="13.5">
      <c r="A77" s="12"/>
      <c r="B77" s="13"/>
      <c r="C77" s="12"/>
      <c r="D77" s="12"/>
      <c r="E77" s="12"/>
      <c r="F77" s="12"/>
      <c r="G77" s="12"/>
      <c r="H77" s="19"/>
      <c r="I77" s="12"/>
    </row>
    <row r="78" spans="2:9" ht="13.5">
      <c r="B78" s="5"/>
      <c r="C78" s="12" t="s">
        <v>39</v>
      </c>
      <c r="D78" s="12"/>
      <c r="E78" s="12"/>
      <c r="F78" s="12"/>
      <c r="G78" s="12"/>
      <c r="H78" s="19">
        <f>H76/25</f>
        <v>11500.353863780821</v>
      </c>
      <c r="I78" s="12"/>
    </row>
    <row r="79" spans="2:8" ht="12.75">
      <c r="B79" s="5"/>
      <c r="H79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H85" sqref="H85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0" max="10" width="9.125" style="0" customWidth="1"/>
    <col min="11" max="11" width="2.50390625" style="0" hidden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4" t="s">
        <v>133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134</v>
      </c>
      <c r="H20" s="17">
        <f>E15*E16*0.054/365*44</f>
        <v>118716.10441643836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390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135</v>
      </c>
      <c r="H30" s="17">
        <f>SUM((E23*E24)+(E25*E26))*E27*E28</f>
        <v>7452.9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44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136</v>
      </c>
      <c r="H38" s="17">
        <f>SUM(E33*E34*E35*E36)</f>
        <v>668.03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44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137</v>
      </c>
      <c r="H46" s="17">
        <f>SUM(E41*E42*E43*E44)</f>
        <v>944.68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127781.71441643835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390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138</v>
      </c>
      <c r="H55" s="17">
        <f>E52*E53</f>
        <v>168480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(26000*25)*25%</f>
        <v>162500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330980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330980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99955.95999999999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</v>
      </c>
      <c r="H76" s="17">
        <f>(14480*25)*10%</f>
        <v>36200</v>
      </c>
    </row>
    <row r="77" spans="1:8" ht="12.75">
      <c r="A77" s="3" t="s">
        <v>49</v>
      </c>
      <c r="B77" s="5" t="s">
        <v>51</v>
      </c>
      <c r="E77" s="1"/>
      <c r="G77" s="1">
        <v>0.15</v>
      </c>
      <c r="H77" s="17">
        <f>(14480*25)*15%</f>
        <v>54300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649988.4244164383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25999.53697665753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9">
      <selection activeCell="F87" sqref="F87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2" t="s">
        <v>139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74</v>
      </c>
      <c r="H20" s="17">
        <f>E15*E16*0.054/365*14</f>
        <v>37773.30595068493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108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75</v>
      </c>
      <c r="H30" s="17">
        <f>SUM((E23*E24)+(E25*E26))*E27*E28</f>
        <v>2063.88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14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76</v>
      </c>
      <c r="H38" s="17">
        <f>SUM(E33*E34*E35*E36)</f>
        <v>212.55499999999998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14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77</v>
      </c>
      <c r="H46" s="17">
        <f>SUM(E41*E42*E43*E44)</f>
        <v>300.58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40350.32095068493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108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78</v>
      </c>
      <c r="H55" s="17">
        <f>E52*E53</f>
        <v>46656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(14000*25)*25%</f>
        <v>87500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134156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134156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40515.112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(13420*25)*15%</f>
        <v>50325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(13420*25)*25%</f>
        <v>83875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349992.1829506849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13999.687318027396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G83" sqref="G83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2" t="s">
        <v>140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141</v>
      </c>
      <c r="H20" s="17">
        <f>E15*E16*0.054/365*5</f>
        <v>13490.466410958905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40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142</v>
      </c>
      <c r="H30" s="17">
        <f>SUM((E23*E24)+(E25*E26))*E27*E28</f>
        <v>764.4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5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143</v>
      </c>
      <c r="H38" s="17">
        <f>SUM(E33*E34*E35*E36)</f>
        <v>75.9125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5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144</v>
      </c>
      <c r="H46" s="17">
        <f>SUM(E41*E42*E43*E44)</f>
        <v>107.35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14438.128910958905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40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145</v>
      </c>
      <c r="H55" s="17">
        <f>E52*E53</f>
        <v>17280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(6000*25)*25%</f>
        <v>37500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54780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54780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16543.559999999998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(6348*25)*15%</f>
        <v>23805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(6348*25)*25%</f>
        <v>39675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150012.4389109589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6000.497556438357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6.25" customHeight="1">
      <c r="A10" s="32" t="s">
        <v>146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141</v>
      </c>
      <c r="H20" s="17">
        <f>E15*E16*0.054/365*5</f>
        <v>13490.466410958905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40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142</v>
      </c>
      <c r="H30" s="17">
        <f>SUM((E23*E24)+(E25*E26))*E27*E28</f>
        <v>764.4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5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143</v>
      </c>
      <c r="H38" s="17">
        <f>SUM(E33*E34*E35*E36)</f>
        <v>75.9125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5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144</v>
      </c>
      <c r="H46" s="17">
        <f>SUM(E41*E42*E43*E44)</f>
        <v>107.35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14438.128910958905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40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145</v>
      </c>
      <c r="H55" s="17">
        <f>E52*E53</f>
        <v>17280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(6000*25)*25%</f>
        <v>37500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54780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54780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16543.559999999998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(6348*25)*15%</f>
        <v>23805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(6348*25)*25%</f>
        <v>39675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150012.4389109589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6000.497556438357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7">
      <selection activeCell="H83" sqref="H83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2" t="s">
        <v>147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148</v>
      </c>
      <c r="H20" s="17">
        <f>E15*E16*0.054/365*4</f>
        <v>10792.373128767123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28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149</v>
      </c>
      <c r="H30" s="17">
        <f>SUM((E23*E24)+(E25*E26))*E27*E28</f>
        <v>535.08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4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150</v>
      </c>
      <c r="H38" s="17">
        <f>SUM(E33*E34*E35*E36)</f>
        <v>60.73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4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151</v>
      </c>
      <c r="H46" s="17">
        <f>SUM(E41*E42*E43*E44)</f>
        <v>85.88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11474.063128767122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28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152</v>
      </c>
      <c r="H55" s="17">
        <f>E52*E53</f>
        <v>12096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(2600*25)*25%</f>
        <v>16250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28346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28346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8560.492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</v>
      </c>
      <c r="H76" s="17">
        <f>(2536*25)*10%</f>
        <v>6340</v>
      </c>
    </row>
    <row r="77" spans="1:8" ht="12.75">
      <c r="A77" s="3" t="s">
        <v>49</v>
      </c>
      <c r="B77" s="5" t="s">
        <v>51</v>
      </c>
      <c r="E77" s="1"/>
      <c r="G77" s="1">
        <v>0.15</v>
      </c>
      <c r="H77" s="17">
        <f>(2536*25)*15%</f>
        <v>9510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65001.30512876712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2600.0522051506846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7">
      <selection activeCell="H78" sqref="H78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4.75" customHeight="1">
      <c r="A10" s="32" t="s">
        <v>153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154</v>
      </c>
      <c r="H20" s="17">
        <f>E15*E16*0.054/365*3</f>
        <v>8094.279846575342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20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155</v>
      </c>
      <c r="H30" s="17">
        <f>SUM((E23*E24)+(E25*E26))*E27*E28</f>
        <v>382.2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3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156</v>
      </c>
      <c r="H38" s="17">
        <f>SUM(E33*E34*E35*E36)</f>
        <v>45.5475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3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157</v>
      </c>
      <c r="H46" s="17">
        <f>SUM(E41*E42*E43*E44)</f>
        <v>64.41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8586.437346575343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20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158</v>
      </c>
      <c r="H55" s="17">
        <f>E52*E53</f>
        <v>8640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(2550*25)*25%</f>
        <v>15937.5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24577.5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24577.5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7422.405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(2560*25)*15%</f>
        <v>9600</v>
      </c>
    </row>
    <row r="77" spans="1:8" ht="12.75">
      <c r="A77" s="3" t="s">
        <v>49</v>
      </c>
      <c r="B77" s="5" t="s">
        <v>51</v>
      </c>
      <c r="E77" s="1"/>
      <c r="G77" s="1">
        <v>0.2</v>
      </c>
      <c r="H77" s="17">
        <f>(2560*25)*20%</f>
        <v>12800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63757.092346575344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2550.283693863014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6">
      <selection activeCell="J84" sqref="J84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4.75" customHeight="1">
      <c r="A10" s="32" t="s">
        <v>159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160</v>
      </c>
      <c r="H20" s="17">
        <f>E15*E16*0.054/365*2</f>
        <v>5396.186564383562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16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161</v>
      </c>
      <c r="H30" s="17">
        <f>SUM((E23*E24)+(E25*E26))*E27*E28</f>
        <v>305.76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2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162</v>
      </c>
      <c r="H38" s="17">
        <f>SUM(E33*E34*E35*E36)</f>
        <v>30.365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2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163</v>
      </c>
      <c r="H46" s="17">
        <f>SUM(E41*E42*E43*E44)</f>
        <v>42.94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5775.251564383561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16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164</v>
      </c>
      <c r="H55" s="17">
        <f>E52*E53</f>
        <v>6912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(1900*25)*25%</f>
        <v>11875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18787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18787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5673.674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(1886*25)*15%</f>
        <v>7072.5</v>
      </c>
    </row>
    <row r="77" spans="1:8" ht="12.75">
      <c r="A77" s="3" t="s">
        <v>49</v>
      </c>
      <c r="B77" s="5" t="s">
        <v>51</v>
      </c>
      <c r="E77" s="1"/>
      <c r="G77" s="1">
        <v>0.2</v>
      </c>
      <c r="H77" s="17">
        <f>(1886*25)*20%</f>
        <v>9430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47509.175564383564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1900.3670225753426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3">
      <selection activeCell="I82" sqref="I82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6.25" customHeight="1">
      <c r="A10" s="32" t="s">
        <v>165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141</v>
      </c>
      <c r="H20" s="17">
        <f>E15*E16*0.054/365*5</f>
        <v>13490.466410958905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40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142</v>
      </c>
      <c r="H30" s="17">
        <f>SUM((E23*E24)+(E25*E26))*E27*E28</f>
        <v>764.4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5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143</v>
      </c>
      <c r="H38" s="17">
        <f>SUM(E33*E34*E35*E36)</f>
        <v>75.9125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5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144</v>
      </c>
      <c r="H46" s="17">
        <f>SUM(E41*E42*E43*E44)</f>
        <v>107.35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14438.128910958905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40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145</v>
      </c>
      <c r="H55" s="17">
        <f>E52*E53</f>
        <v>17280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(6000*25)*25%</f>
        <v>37500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54780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54780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16543.559999999998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(6348*25)*15%</f>
        <v>23805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(6348*25)*25%</f>
        <v>39675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150012.4389109589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6000.497556438357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3">
      <selection activeCell="H81" sqref="H81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6.25" customHeight="1">
      <c r="A10" s="32" t="s">
        <v>166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148</v>
      </c>
      <c r="H20" s="17">
        <f>E15*E16*0.054/365*4</f>
        <v>10792.373128767123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32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167</v>
      </c>
      <c r="H30" s="17">
        <f>SUM((E23*E24)+(E25*E26))*E27*E28</f>
        <v>611.52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4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150</v>
      </c>
      <c r="H38" s="17">
        <f>SUM(E33*E34*E35*E36)</f>
        <v>60.73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4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151</v>
      </c>
      <c r="H46" s="17">
        <f>SUM(E41*E42*E43*E44)</f>
        <v>85.88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11550.503128767123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32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168</v>
      </c>
      <c r="H55" s="17">
        <f>E52*E53</f>
        <v>13824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(5500*25)*25%</f>
        <v>34375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48199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48199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14556.098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(6243*25)*15%</f>
        <v>23411.25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(6243*25)*25%</f>
        <v>39018.75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137506.35112876713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5500.254045150685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">
      <selection activeCell="K38" sqref="K38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64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7">
      <selection activeCell="H83" sqref="H83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2" t="s">
        <v>169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141</v>
      </c>
      <c r="H20" s="17">
        <f>E15*E16*0.054/365*5</f>
        <v>13490.466410958905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36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170</v>
      </c>
      <c r="H30" s="17">
        <f>SUM((E23*E24)+(E25*E26))*E27*E28</f>
        <v>687.96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5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143</v>
      </c>
      <c r="H38" s="17">
        <f>SUM(E33*E34*E35*E36)</f>
        <v>75.9125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5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144</v>
      </c>
      <c r="H46" s="17">
        <f>SUM(E41*E42*E43*E44)</f>
        <v>107.35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14361.688910958906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36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171</v>
      </c>
      <c r="H55" s="17">
        <f>E52*E53</f>
        <v>15552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(5800*25)*25%</f>
        <v>36250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51802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51802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15644.204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(6243*25)*15%</f>
        <v>23411.25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(6243*25)*25%</f>
        <v>39018.75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145008.6429109589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5800.345716438356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2" t="s">
        <v>172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141</v>
      </c>
      <c r="H20" s="17">
        <f>E15*E16*0.054/365*5</f>
        <v>13490.466410958905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36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170</v>
      </c>
      <c r="H30" s="17">
        <f>SUM((E23*E24)+(E25*E26))*E27*E28</f>
        <v>687.96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5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143</v>
      </c>
      <c r="H38" s="17">
        <f>SUM(E33*E34*E35*E36)</f>
        <v>75.9125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5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144</v>
      </c>
      <c r="H46" s="17">
        <f>SUM(E41*E42*E43*E44)</f>
        <v>107.35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14361.688910958906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36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171</v>
      </c>
      <c r="H55" s="17">
        <f>E52*E53</f>
        <v>15552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(5800*25)*25%</f>
        <v>36250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51802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51802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15644.204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(6243*25)*15%</f>
        <v>23411.25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(6243*25)*25%</f>
        <v>39018.75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145008.6429109589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5800.345716438356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A10" sqref="A10:IV10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2" t="s">
        <v>173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141</v>
      </c>
      <c r="H20" s="17">
        <f>E15*E16*0.054/365*5</f>
        <v>13490.466410958905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40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142</v>
      </c>
      <c r="H30" s="17">
        <f>SUM((E23*E24)+(E25*E26))*E27*E28</f>
        <v>764.4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5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143</v>
      </c>
      <c r="H38" s="17">
        <f>SUM(E33*E34*E35*E36)</f>
        <v>75.9125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5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144</v>
      </c>
      <c r="H46" s="17">
        <f>SUM(E41*E42*E43*E44)</f>
        <v>107.35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14438.128910958905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40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145</v>
      </c>
      <c r="H55" s="17">
        <f>E52*E53</f>
        <v>17280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(6000*25)*25%</f>
        <v>37500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54780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54780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16543.559999999998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(6348*25)*15%</f>
        <v>23805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(6348*25)*25%</f>
        <v>39675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150012.4389109589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6000.497556438357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3">
      <selection activeCell="N70" sqref="N70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2" t="s">
        <v>174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141</v>
      </c>
      <c r="H20" s="17">
        <f>E15*E16*0.054/365*5</f>
        <v>13490.466410958905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40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142</v>
      </c>
      <c r="H30" s="17">
        <f>SUM((E23*E24)+(E25*E26))*E27*E28</f>
        <v>764.4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5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143</v>
      </c>
      <c r="H38" s="17">
        <f>SUM(E33*E34*E35*E36)</f>
        <v>75.9125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5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144</v>
      </c>
      <c r="H46" s="17">
        <f>SUM(E41*E42*E43*E44)</f>
        <v>107.35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14438.128910958905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40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145</v>
      </c>
      <c r="H55" s="17">
        <f>E52*E53</f>
        <v>17280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(6000*25)*25%</f>
        <v>37500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54780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54780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16543.559999999998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(6348*25)*15%</f>
        <v>23805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(6348*25)*25%</f>
        <v>39675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150012.4389109589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6000.497556438357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3">
      <selection activeCell="L84" sqref="L84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2" t="s">
        <v>175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160</v>
      </c>
      <c r="H20" s="17">
        <f>E15*E16*0.054/365*2</f>
        <v>5396.186564383562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16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161</v>
      </c>
      <c r="H30" s="17">
        <f>SUM((E23*E24)+(E25*E26))*E27*E28</f>
        <v>305.76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2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162</v>
      </c>
      <c r="H38" s="17">
        <f>SUM(E33*E34*E35*E36)</f>
        <v>30.365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2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163</v>
      </c>
      <c r="H46" s="17">
        <f>SUM(E41*E42*E43*E44)</f>
        <v>42.94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5775.251564383561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16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164</v>
      </c>
      <c r="H55" s="17">
        <f>E52*E53</f>
        <v>6912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(3500*25)*25%</f>
        <v>21875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28787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28787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8693.673999999999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0.2</v>
      </c>
      <c r="H76" s="17">
        <f>(3865*25)*20%</f>
        <v>19325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(3865*25)*25%</f>
        <v>24156.25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87507.92556438356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3500.3170225753424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">
      <selection activeCell="J27" sqref="J27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2" t="s">
        <v>176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160</v>
      </c>
      <c r="H20" s="17">
        <f>E15*E16*0.054/365*2</f>
        <v>5396.186564383562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16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161</v>
      </c>
      <c r="H30" s="17">
        <f>SUM((E23*E24)+(E25*E26))*E27*E28</f>
        <v>305.76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2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162</v>
      </c>
      <c r="H38" s="17">
        <f>SUM(E33*E34*E35*E36)</f>
        <v>30.365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2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163</v>
      </c>
      <c r="H46" s="17">
        <f>SUM(E41*E42*E43*E44)</f>
        <v>42.94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5775.251564383561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16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164</v>
      </c>
      <c r="H55" s="17">
        <f>E52*E53</f>
        <v>6912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(3500*25)*25%</f>
        <v>21875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28787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28787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8693.673999999999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0.2</v>
      </c>
      <c r="H76" s="17">
        <f>(3865*25)*20%</f>
        <v>19325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(3865*25)*25%</f>
        <v>24156.25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87507.92556438356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3500.3170225753424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A10" sqref="A10:K10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2" t="s">
        <v>177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141</v>
      </c>
      <c r="H20" s="17">
        <f>E15*E16*0.054/365*5</f>
        <v>13490.466410958905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40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142</v>
      </c>
      <c r="H30" s="17">
        <f>SUM((E23*E24)+(E25*E26))*E27*E28</f>
        <v>764.4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5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143</v>
      </c>
      <c r="H38" s="17">
        <f>SUM(E33*E34*E35*E36)</f>
        <v>75.9125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5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144</v>
      </c>
      <c r="H46" s="17">
        <f>SUM(E41*E42*E43*E44)</f>
        <v>107.35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14438.128910958905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40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145</v>
      </c>
      <c r="H55" s="17">
        <f>E52*E53</f>
        <v>17280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(6000*25)*25%</f>
        <v>37500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54780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54780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16543.559999999998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(6348*25)*15%</f>
        <v>23805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(6348*25)*25%</f>
        <v>39675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150012.4389109589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6000.497556438357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6">
      <selection activeCell="H85" sqref="H85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178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6">
      <selection activeCell="I84" sqref="I84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4.75" customHeight="1">
      <c r="A10" s="32" t="s">
        <v>159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160</v>
      </c>
      <c r="H20" s="17">
        <f>E15*E16*0.054/365*2</f>
        <v>5396.186564383562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16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161</v>
      </c>
      <c r="H30" s="17">
        <f>SUM((E23*E24)+(E25*E26))*E27*E28</f>
        <v>305.76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2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162</v>
      </c>
      <c r="H38" s="17">
        <f>SUM(E33*E34*E35*E36)</f>
        <v>30.365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2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163</v>
      </c>
      <c r="H46" s="17">
        <f>SUM(E41*E42*E43*E44)</f>
        <v>42.94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5775.251564383561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16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164</v>
      </c>
      <c r="H55" s="17">
        <f>E52*E53</f>
        <v>6912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(2000*25)*25%</f>
        <v>12500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19412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19412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5862.424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(2079*25)*15%</f>
        <v>7796.25</v>
      </c>
    </row>
    <row r="77" spans="1:8" ht="12.75">
      <c r="A77" s="3" t="s">
        <v>49</v>
      </c>
      <c r="B77" s="5" t="s">
        <v>51</v>
      </c>
      <c r="E77" s="1"/>
      <c r="G77" s="1">
        <v>0.2</v>
      </c>
      <c r="H77" s="17">
        <f>(2079*25)*20%</f>
        <v>10395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50011.675564383564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2000.4670225753425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">
      <selection activeCell="A10" sqref="A10:K10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5.5" customHeight="1">
      <c r="A10" s="32" t="s">
        <v>179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(20000*25)*25%</f>
        <v>125000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156104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156104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47143.407999999996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0.2</v>
      </c>
      <c r="H76" s="17">
        <f>(24000*25)*20%</f>
        <v>120000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(24000*25)*25%</f>
        <v>150000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500006.79003972607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20000.271601589044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0">
      <selection activeCell="G40" sqref="G40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65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 t="s">
        <v>66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6">
      <selection activeCell="A10" sqref="A10:K10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0" max="10" width="9.125" style="0" customWidth="1"/>
    <col min="11" max="11" width="2.50390625" style="0" hidden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4.75" customHeight="1">
      <c r="A10" s="34" t="s">
        <v>186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180</v>
      </c>
      <c r="H20" s="17">
        <f>E15*E16*0.054/365*18</f>
        <v>48565.67907945206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151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181</v>
      </c>
      <c r="H30" s="17">
        <f>SUM((E23*E24)+(E25*E26))*E27*E28</f>
        <v>2885.61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18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182</v>
      </c>
      <c r="H38" s="17">
        <f>SUM(E33*E34*E35*E36)</f>
        <v>273.28499999999997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18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183</v>
      </c>
      <c r="H46" s="17">
        <f>SUM(E41*E42*E43*E44)</f>
        <v>386.46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52111.03407945206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151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184</v>
      </c>
      <c r="H55" s="17">
        <f>E52*E53</f>
        <v>65232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(18000*25)*25%</f>
        <v>112500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177732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177732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53675.064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(21572*25)*15%</f>
        <v>80895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(21572*25)*25%</f>
        <v>134825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500008.84807945206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20000.35392317808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6">
      <selection activeCell="H17" sqref="H17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0" max="10" width="9.125" style="0" customWidth="1"/>
    <col min="11" max="11" width="2.50390625" style="0" hidden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6.25" customHeight="1">
      <c r="A10" s="34" t="s">
        <v>192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185</v>
      </c>
      <c r="H20" s="17">
        <f>E15*E16*0.054/365*15</f>
        <v>40471.39923287671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126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187</v>
      </c>
      <c r="H30" s="17">
        <f>SUM((E23*E24)+(E25*E26))*E27*E28</f>
        <v>2407.86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15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188</v>
      </c>
      <c r="H38" s="17">
        <f>SUM(E33*E34*E35*E36)</f>
        <v>227.73749999999998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15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189</v>
      </c>
      <c r="H46" s="17">
        <f>SUM(E41*E42*E43*E44)</f>
        <v>322.04999999999995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43429.04673287672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126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190</v>
      </c>
      <c r="H55" s="17">
        <f>E52*E53</f>
        <v>54432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(18000*25)*25%</f>
        <v>112500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166932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166932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50413.464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(18846*25)*15%</f>
        <v>70672.5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(18846*25)*25%</f>
        <v>117787.5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450005.2607328767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18000.21042931507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0">
      <selection activeCell="C76" sqref="C76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0" max="10" width="9.125" style="0" customWidth="1"/>
    <col min="11" max="11" width="2.50390625" style="0" hidden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6.25" customHeight="1">
      <c r="A10" s="34" t="s">
        <v>191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185</v>
      </c>
      <c r="H20" s="17">
        <f>E15*E16*0.054/365*15</f>
        <v>40471.39923287671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120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193</v>
      </c>
      <c r="H30" s="17">
        <f>SUM((E23*E24)+(E25*E26))*E27*E28</f>
        <v>2293.2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15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188</v>
      </c>
      <c r="H38" s="17">
        <f>SUM(E33*E34*E35*E36)</f>
        <v>227.73749999999998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15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189</v>
      </c>
      <c r="H46" s="17">
        <f>SUM(E41*E42*E43*E44)</f>
        <v>322.04999999999995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43314.386732876716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120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194</v>
      </c>
      <c r="H55" s="17">
        <f>E52*E53</f>
        <v>51840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(16000*25)*25%</f>
        <v>100000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151840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151840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45855.68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(15823*25)*15%</f>
        <v>59336.25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(15823*25)*25%</f>
        <v>98893.75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400010.8167328767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16000.432669315069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6">
      <selection activeCell="A10" sqref="A10:K10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0" max="10" width="9.125" style="0" customWidth="1"/>
    <col min="11" max="11" width="2.50390625" style="0" hidden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6.25" customHeight="1">
      <c r="A10" s="34" t="s">
        <v>196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185</v>
      </c>
      <c r="H20" s="17">
        <f>E15*E16*0.054/365*15</f>
        <v>40471.39923287671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111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195</v>
      </c>
      <c r="H30" s="17">
        <f>SUM((E23*E24)+(E25*E26))*E27*E28</f>
        <v>2121.21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14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76</v>
      </c>
      <c r="H38" s="17">
        <f>SUM(E33*E34*E35*E36)</f>
        <v>212.55499999999998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14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77</v>
      </c>
      <c r="H46" s="17">
        <f>SUM(E41*E42*E43*E44)</f>
        <v>300.58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43105.744232876714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111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197</v>
      </c>
      <c r="H55" s="17">
        <f>E52*E53</f>
        <v>47952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(15000*25)*25%</f>
        <v>93750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141702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141702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42794.004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(14663*25)*15%</f>
        <v>54986.25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(14663*25)*25%</f>
        <v>91643.75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375002.4982328767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15000.099929315069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3">
      <selection activeCell="J77" sqref="J77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5.5" customHeight="1">
      <c r="A10" s="32" t="s">
        <v>198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201</v>
      </c>
      <c r="H20" s="17">
        <f>E15*E16*0.054/365*11</f>
        <v>29679.02610410959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86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199</v>
      </c>
      <c r="H30" s="17">
        <f>SUM((E23*E24)+(E25*E26))*E27*E28</f>
        <v>1643.4599999999998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11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203</v>
      </c>
      <c r="H38" s="17">
        <f>SUM(E33*E34*E35*E36)</f>
        <v>167.0075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11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202</v>
      </c>
      <c r="H46" s="17">
        <f>SUM(E41*E42*E43*E44)</f>
        <v>236.17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31725.663604109588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86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200</v>
      </c>
      <c r="H55" s="17">
        <f>E52*E53</f>
        <v>37152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(14000*25)*25%</f>
        <v>87500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124652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124652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37644.904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(15521*25)*15%</f>
        <v>58203.75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(15521*25)*25%</f>
        <v>97006.25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350003.3176041096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14000.132704164384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55">
      <selection activeCell="L74" sqref="L74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5.5" customHeight="1">
      <c r="A10" s="32" t="s">
        <v>204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107</v>
      </c>
      <c r="H20" s="17">
        <f>E15*E16*0.054/365*10</f>
        <v>26980.93282191781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80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108</v>
      </c>
      <c r="H30" s="17">
        <f>SUM((E23*E24)+(E25*E26))*E27*E28</f>
        <v>1528.8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10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109</v>
      </c>
      <c r="H38" s="17">
        <f>SUM(E33*E34*E35*E36)</f>
        <v>151.825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10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110</v>
      </c>
      <c r="H46" s="17">
        <f>SUM(E41*E42*E43*E44)</f>
        <v>214.7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28876.25782191781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80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111</v>
      </c>
      <c r="H55" s="17">
        <f>E52*E53</f>
        <v>34560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(13000*25)*25%</f>
        <v>81250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115810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115810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34974.619999999995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(14457*25)*15%</f>
        <v>54213.75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(14457*25)*25%</f>
        <v>90356.25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325001.6278219178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13000.065112876713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9">
      <selection activeCell="H76" sqref="H76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4.75" customHeight="1">
      <c r="A10" s="32" t="s">
        <v>205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206</v>
      </c>
      <c r="H20" s="17">
        <f>E15*E16*0.054/365*13</f>
        <v>35075.21266849315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106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207</v>
      </c>
      <c r="H30" s="17">
        <f>SUM((E23*E24)+(E25*E26))*E27*E28</f>
        <v>2025.66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13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209</v>
      </c>
      <c r="H38" s="17">
        <f>SUM(E33*E34*E35*E36)</f>
        <v>197.3725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13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208</v>
      </c>
      <c r="H46" s="17">
        <f>SUM(E41*E42*E43*E44)</f>
        <v>279.11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37577.35516849315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106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210</v>
      </c>
      <c r="H55" s="17">
        <f>E52*E53</f>
        <v>45792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(10000*25)*25%</f>
        <v>62500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108292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108292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32704.183999999997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</v>
      </c>
      <c r="H76" s="17">
        <f>(11305*25)*10%</f>
        <v>28262.5</v>
      </c>
    </row>
    <row r="77" spans="1:8" ht="12.75">
      <c r="A77" s="3" t="s">
        <v>49</v>
      </c>
      <c r="B77" s="5" t="s">
        <v>51</v>
      </c>
      <c r="E77" s="1"/>
      <c r="G77" s="1">
        <v>0.15</v>
      </c>
      <c r="H77" s="17">
        <f>(11305*25)*15%</f>
        <v>42393.75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250000.53916849315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10000.021566739726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3">
      <selection activeCell="I85" sqref="I85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0" max="10" width="7.125" style="0" customWidth="1"/>
    <col min="11" max="11" width="6.125" style="0" hidden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4.75" customHeight="1">
      <c r="A10" s="32" t="s">
        <v>211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107</v>
      </c>
      <c r="H20" s="17">
        <f>E15*E16*0.054/365*10</f>
        <v>26980.93282191781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81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212</v>
      </c>
      <c r="H30" s="17">
        <f>SUM((E23*E24)+(E25*E26))*E27*E28</f>
        <v>1547.9099999999999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10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109</v>
      </c>
      <c r="H38" s="17">
        <f>SUM(E33*E34*E35*E36)</f>
        <v>151.825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10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110</v>
      </c>
      <c r="H46" s="17">
        <f>SUM(E41*E42*E43*E44)</f>
        <v>214.7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28895.36782191781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81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213</v>
      </c>
      <c r="H55" s="17">
        <f>E52*E53</f>
        <v>34992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(9000*25)*25%</f>
        <v>56250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91242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91242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27555.084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(8748*25)*15%</f>
        <v>32805</v>
      </c>
    </row>
    <row r="77" spans="1:8" ht="12.75">
      <c r="A77" s="3" t="s">
        <v>49</v>
      </c>
      <c r="B77" s="5" t="s">
        <v>51</v>
      </c>
      <c r="E77" s="1"/>
      <c r="G77" s="1">
        <v>0.2</v>
      </c>
      <c r="H77" s="17">
        <f>(8748*25)*20%</f>
        <v>43740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225008.2018219178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9000.328072876713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9">
      <selection activeCell="I89" sqref="I89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0" max="10" width="7.125" style="0" customWidth="1"/>
    <col min="11" max="11" width="6.125" style="0" hidden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4.75" customHeight="1">
      <c r="A10" s="32" t="s">
        <v>214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75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215</v>
      </c>
      <c r="H30" s="17">
        <f>SUM((E23*E24)+(E25*E26))*E27*E28</f>
        <v>1433.25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26045.96203972603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75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216</v>
      </c>
      <c r="H55" s="17">
        <f>E52*E53</f>
        <v>32400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(8000*25)*25%</f>
        <v>50000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82400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82400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24884.8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(7532*25)*15%</f>
        <v>28245</v>
      </c>
    </row>
    <row r="77" spans="1:8" ht="12.75">
      <c r="A77" s="3" t="s">
        <v>49</v>
      </c>
      <c r="B77" s="5" t="s">
        <v>51</v>
      </c>
      <c r="E77" s="1"/>
      <c r="G77" s="1">
        <v>0.2</v>
      </c>
      <c r="H77" s="17">
        <f>(7532*25)*20%</f>
        <v>37660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200006.51203972602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8000.260481589041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9">
      <selection activeCell="J88" sqref="J88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0" max="10" width="7.125" style="0" customWidth="1"/>
    <col min="11" max="11" width="6.125" style="0" hidden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4.75" customHeight="1">
      <c r="A10" s="32" t="s">
        <v>217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141</v>
      </c>
      <c r="H20" s="17">
        <f>E15*E16*0.054/365*5</f>
        <v>13490.466410958905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39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218</v>
      </c>
      <c r="H30" s="17">
        <f>SUM((E23*E24)+(E25*E26))*E27*E28</f>
        <v>745.2900000000001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5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143</v>
      </c>
      <c r="H38" s="17">
        <f>SUM(E33*E34*E35*E36)</f>
        <v>75.9125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5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144</v>
      </c>
      <c r="H46" s="17">
        <f>SUM(E41*E42*E43*E44)</f>
        <v>107.35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14419.018910958906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39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219</v>
      </c>
      <c r="H55" s="17">
        <f>E52*E53</f>
        <v>16848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(5000*25)*25%</f>
        <v>31250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48098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48098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14525.596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(5393*25)*15%</f>
        <v>20223.75</v>
      </c>
    </row>
    <row r="77" spans="1:8" ht="12.75">
      <c r="A77" s="3" t="s">
        <v>49</v>
      </c>
      <c r="B77" s="5" t="s">
        <v>51</v>
      </c>
      <c r="E77" s="1"/>
      <c r="G77" s="1">
        <v>0.2</v>
      </c>
      <c r="H77" s="17">
        <f>(5393*25)*20%</f>
        <v>26965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125002.1149109589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5000.084596438356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I44" sqref="I44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61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tabSelected="1" zoomScalePageLayoutView="0" workbookViewId="0" topLeftCell="A1">
      <selection activeCell="H88" sqref="H88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0" max="10" width="7.125" style="0" customWidth="1"/>
    <col min="11" max="11" width="6.125" style="0" hidden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4.75" customHeight="1">
      <c r="A10" s="32" t="s">
        <v>220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141</v>
      </c>
      <c r="H20" s="17">
        <f>E15*E16*0.054/365*5</f>
        <v>13490.466410958905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40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142</v>
      </c>
      <c r="H30" s="17">
        <f>SUM((E23*E24)+(E25*E26))*E27*E28</f>
        <v>764.4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5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143</v>
      </c>
      <c r="H38" s="17">
        <f>SUM(E33*E34*E35*E36)</f>
        <v>75.9125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5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144</v>
      </c>
      <c r="H46" s="17">
        <f>SUM(E41*E42*E43*E44)</f>
        <v>107.35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14438.128910958905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40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145</v>
      </c>
      <c r="H55" s="17">
        <f>E52*E53</f>
        <v>17280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(5000*25)*25%</f>
        <v>31250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48530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48530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14656.06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(7161*25)*15%</f>
        <v>26853.75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(7161*25)*25%</f>
        <v>44756.25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150004.9389109589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6000.1975564383565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3">
      <selection activeCell="A10" sqref="A10:K10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7" customHeight="1">
      <c r="A10" s="32" t="s">
        <v>221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1"/>
  <sheetViews>
    <sheetView zoomScalePageLayoutView="0" workbookViewId="0" topLeftCell="A4">
      <selection activeCell="L39" sqref="L39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60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3" t="s">
        <v>22</v>
      </c>
      <c r="B12" s="9" t="s">
        <v>23</v>
      </c>
      <c r="C12" s="3"/>
      <c r="D12" s="3"/>
      <c r="E12" s="3"/>
      <c r="F12" s="3"/>
      <c r="G12" s="3"/>
      <c r="H12" s="17"/>
      <c r="I12" s="3"/>
    </row>
    <row r="13" spans="1:9" ht="12.75">
      <c r="A13" s="3"/>
      <c r="B13" s="9" t="s">
        <v>24</v>
      </c>
      <c r="C13" s="3" t="s">
        <v>25</v>
      </c>
      <c r="D13" s="3"/>
      <c r="E13" s="3"/>
      <c r="F13" s="3"/>
      <c r="G13" s="3"/>
      <c r="H13" s="17"/>
      <c r="I13" s="3"/>
    </row>
    <row r="14" spans="2:8" ht="12.75">
      <c r="B14" s="5"/>
      <c r="C14" t="s">
        <v>13</v>
      </c>
      <c r="E14">
        <v>0</v>
      </c>
      <c r="H14" s="17"/>
    </row>
    <row r="15" spans="2:8" ht="12.75">
      <c r="B15" s="5"/>
      <c r="C15" t="s">
        <v>26</v>
      </c>
      <c r="E15">
        <v>432</v>
      </c>
      <c r="H15" s="17"/>
    </row>
    <row r="16" spans="2:8" ht="12.75">
      <c r="B16" s="5"/>
      <c r="H16" s="17"/>
    </row>
    <row r="17" spans="2:8" ht="12.75">
      <c r="B17" s="5"/>
      <c r="C17" t="s">
        <v>53</v>
      </c>
      <c r="H17" s="17">
        <f>E14*E15</f>
        <v>0</v>
      </c>
    </row>
    <row r="18" spans="2:8" ht="12.75">
      <c r="B18" s="5"/>
      <c r="H18" s="17"/>
    </row>
    <row r="19" spans="1:9" ht="12.75">
      <c r="A19" s="21"/>
      <c r="B19" s="24" t="s">
        <v>28</v>
      </c>
      <c r="C19" s="21"/>
      <c r="D19" s="21"/>
      <c r="E19" s="21"/>
      <c r="F19" s="21"/>
      <c r="G19" s="21"/>
      <c r="H19" s="23">
        <f>H17</f>
        <v>0</v>
      </c>
      <c r="I19" s="21"/>
    </row>
    <row r="20" spans="2:8" ht="12.75">
      <c r="B20" s="5"/>
      <c r="H20" s="17"/>
    </row>
    <row r="21" spans="1:9" ht="12.75">
      <c r="A21" s="3" t="s">
        <v>29</v>
      </c>
      <c r="B21" s="9" t="s">
        <v>30</v>
      </c>
      <c r="C21" s="3"/>
      <c r="D21" s="3"/>
      <c r="E21" s="3"/>
      <c r="F21" s="3"/>
      <c r="G21" s="3"/>
      <c r="H21" s="17"/>
      <c r="I21" s="3"/>
    </row>
    <row r="22" spans="2:8" ht="12.75">
      <c r="B22" s="5"/>
      <c r="H22" s="17"/>
    </row>
    <row r="23" spans="2:8" ht="12.75">
      <c r="B23" s="5"/>
      <c r="C23" t="s">
        <v>23</v>
      </c>
      <c r="E23" s="18">
        <f>H19</f>
        <v>0</v>
      </c>
      <c r="H23" s="17"/>
    </row>
    <row r="24" spans="2:8" ht="12.75">
      <c r="B24" s="5"/>
      <c r="C24" t="s">
        <v>31</v>
      </c>
      <c r="E24" s="16">
        <v>0.302</v>
      </c>
      <c r="H24" s="17"/>
    </row>
    <row r="25" spans="2:8" ht="12.75">
      <c r="B25" s="5"/>
      <c r="E25" s="16"/>
      <c r="H25" s="17"/>
    </row>
    <row r="26" spans="1:9" ht="12.75">
      <c r="A26" s="22"/>
      <c r="B26" s="24" t="s">
        <v>32</v>
      </c>
      <c r="C26" s="21"/>
      <c r="D26" s="21"/>
      <c r="E26" s="21"/>
      <c r="F26" s="22"/>
      <c r="G26" s="22"/>
      <c r="H26" s="23">
        <f>SUM(E23*E24)</f>
        <v>0</v>
      </c>
      <c r="I26" s="22"/>
    </row>
    <row r="27" spans="2:8" ht="12.75">
      <c r="B27" s="5"/>
      <c r="H27" s="17"/>
    </row>
    <row r="28" spans="1:8" ht="12.75">
      <c r="A28" s="3" t="s">
        <v>33</v>
      </c>
      <c r="B28" s="9" t="s">
        <v>34</v>
      </c>
      <c r="C28" s="3"/>
      <c r="D28" s="3"/>
      <c r="E28" s="3"/>
      <c r="F28" s="3"/>
      <c r="G28" s="3"/>
      <c r="H28" s="17"/>
    </row>
    <row r="29" spans="2:8" ht="12.75">
      <c r="B29" s="5"/>
      <c r="H29" s="17"/>
    </row>
    <row r="30" spans="2:8" ht="12.75">
      <c r="B30" s="5"/>
      <c r="C30" t="s">
        <v>35</v>
      </c>
      <c r="E30">
        <v>30.83</v>
      </c>
      <c r="H30" s="17"/>
    </row>
    <row r="31" spans="2:8" ht="12.75">
      <c r="B31" s="5"/>
      <c r="C31" t="s">
        <v>17</v>
      </c>
      <c r="E31">
        <v>25</v>
      </c>
      <c r="H31" s="17"/>
    </row>
    <row r="32" spans="2:8" ht="12.75">
      <c r="B32" s="5"/>
      <c r="H32" s="17"/>
    </row>
    <row r="33" spans="1:9" ht="12.75">
      <c r="A33" s="22"/>
      <c r="B33" s="24" t="s">
        <v>36</v>
      </c>
      <c r="C33" s="21"/>
      <c r="D33" s="21"/>
      <c r="E33" s="21"/>
      <c r="F33" s="21"/>
      <c r="G33" s="21"/>
      <c r="H33" s="23">
        <f>E30*E31</f>
        <v>770.75</v>
      </c>
      <c r="I33" s="22"/>
    </row>
    <row r="34" spans="2:12" ht="12.75">
      <c r="B34" s="5"/>
      <c r="H34" s="17"/>
      <c r="L34" s="18"/>
    </row>
    <row r="35" spans="1:8" ht="12.75">
      <c r="A35" s="3" t="s">
        <v>46</v>
      </c>
      <c r="B35" s="5" t="s">
        <v>38</v>
      </c>
      <c r="E35" s="1"/>
      <c r="G35" s="1">
        <v>0.15</v>
      </c>
      <c r="H35" s="17">
        <f>(11000*25)*15%</f>
        <v>41250</v>
      </c>
    </row>
    <row r="36" spans="1:8" ht="12.75">
      <c r="A36" s="3" t="s">
        <v>49</v>
      </c>
      <c r="B36" s="5" t="s">
        <v>51</v>
      </c>
      <c r="E36" s="1"/>
      <c r="G36" s="1">
        <v>0.25</v>
      </c>
      <c r="H36" s="17">
        <f>(11000*25)*25%</f>
        <v>68750</v>
      </c>
    </row>
    <row r="37" spans="1:9" ht="13.5">
      <c r="A37" s="12"/>
      <c r="B37" s="13"/>
      <c r="C37" s="10"/>
      <c r="D37" s="12"/>
      <c r="E37" s="12"/>
      <c r="F37" s="12"/>
      <c r="G37" s="11"/>
      <c r="H37" s="19"/>
      <c r="I37" s="12"/>
    </row>
    <row r="38" spans="1:9" ht="13.5">
      <c r="A38" s="21"/>
      <c r="B38" s="25" t="s">
        <v>37</v>
      </c>
      <c r="C38" s="26"/>
      <c r="D38" s="26"/>
      <c r="E38" s="26"/>
      <c r="F38" s="26"/>
      <c r="G38" s="26"/>
      <c r="H38" s="27">
        <f>H19+H26+H33+H35+H36</f>
        <v>110770.75</v>
      </c>
      <c r="I38" s="21"/>
    </row>
    <row r="39" spans="1:9" ht="13.5">
      <c r="A39" s="12"/>
      <c r="B39" s="13"/>
      <c r="C39" s="12"/>
      <c r="D39" s="12"/>
      <c r="E39" s="12"/>
      <c r="F39" s="12"/>
      <c r="G39" s="12"/>
      <c r="H39" s="19"/>
      <c r="I39" s="12"/>
    </row>
    <row r="40" spans="2:9" ht="13.5">
      <c r="B40" s="5"/>
      <c r="C40" s="12" t="s">
        <v>39</v>
      </c>
      <c r="D40" s="12"/>
      <c r="E40" s="12"/>
      <c r="F40" s="12"/>
      <c r="G40" s="12"/>
      <c r="H40" s="19">
        <f>H38/25</f>
        <v>4430.83</v>
      </c>
      <c r="I40" s="12"/>
    </row>
    <row r="41" spans="2:8" ht="12.75">
      <c r="B41" s="5"/>
      <c r="H41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4"/>
  <sheetViews>
    <sheetView zoomScalePageLayoutView="0" workbookViewId="0" topLeftCell="A10">
      <selection activeCell="K36" sqref="K36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7" customHeight="1">
      <c r="A10" s="32" t="s">
        <v>82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8" ht="12.75">
      <c r="A13" s="3"/>
      <c r="B13" s="5"/>
      <c r="H13" s="17"/>
    </row>
    <row r="14" spans="1:9" ht="12.75">
      <c r="A14" s="3" t="s">
        <v>22</v>
      </c>
      <c r="B14" s="9" t="s">
        <v>23</v>
      </c>
      <c r="C14" s="3"/>
      <c r="D14" s="3"/>
      <c r="E14" s="3"/>
      <c r="F14" s="3"/>
      <c r="G14" s="3"/>
      <c r="H14" s="17"/>
      <c r="I14" s="3"/>
    </row>
    <row r="15" spans="1:9" ht="12.75">
      <c r="A15" s="3"/>
      <c r="B15" s="9" t="s">
        <v>24</v>
      </c>
      <c r="C15" s="3" t="s">
        <v>25</v>
      </c>
      <c r="D15" s="3"/>
      <c r="E15" s="3"/>
      <c r="F15" s="3"/>
      <c r="G15" s="3"/>
      <c r="H15" s="17"/>
      <c r="I15" s="3"/>
    </row>
    <row r="16" spans="2:8" ht="12.75">
      <c r="B16" s="5"/>
      <c r="C16" t="s">
        <v>13</v>
      </c>
      <c r="E16">
        <v>0</v>
      </c>
      <c r="H16" s="17"/>
    </row>
    <row r="17" spans="2:8" ht="12.75">
      <c r="B17" s="5"/>
      <c r="C17" t="s">
        <v>26</v>
      </c>
      <c r="E17">
        <v>432</v>
      </c>
      <c r="H17" s="17"/>
    </row>
    <row r="18" spans="2:8" ht="12.75">
      <c r="B18" s="5"/>
      <c r="H18" s="17"/>
    </row>
    <row r="19" spans="2:8" ht="12.75">
      <c r="B19" s="5"/>
      <c r="C19" t="s">
        <v>78</v>
      </c>
      <c r="H19" s="17">
        <f>E16*E17</f>
        <v>0</v>
      </c>
    </row>
    <row r="20" spans="2:8" ht="12.75">
      <c r="B20" s="5"/>
      <c r="H20" s="17"/>
    </row>
    <row r="21" spans="2:8" ht="12.75">
      <c r="B21" s="5"/>
      <c r="H21" s="17"/>
    </row>
    <row r="22" spans="1:9" ht="12.75">
      <c r="A22" s="21"/>
      <c r="B22" s="24" t="s">
        <v>28</v>
      </c>
      <c r="C22" s="21"/>
      <c r="D22" s="21"/>
      <c r="E22" s="21"/>
      <c r="F22" s="21"/>
      <c r="G22" s="21"/>
      <c r="H22" s="23">
        <f>H19</f>
        <v>0</v>
      </c>
      <c r="I22" s="21"/>
    </row>
    <row r="23" spans="2:8" ht="12.75">
      <c r="B23" s="5"/>
      <c r="H23" s="17"/>
    </row>
    <row r="24" spans="1:9" ht="12.75">
      <c r="A24" s="3" t="s">
        <v>29</v>
      </c>
      <c r="B24" s="9" t="s">
        <v>30</v>
      </c>
      <c r="C24" s="3"/>
      <c r="D24" s="3"/>
      <c r="E24" s="3"/>
      <c r="F24" s="3"/>
      <c r="G24" s="3"/>
      <c r="H24" s="17"/>
      <c r="I24" s="3"/>
    </row>
    <row r="25" spans="2:8" ht="12.75">
      <c r="B25" s="5"/>
      <c r="H25" s="17"/>
    </row>
    <row r="26" spans="2:8" ht="12.75">
      <c r="B26" s="5"/>
      <c r="C26" t="s">
        <v>23</v>
      </c>
      <c r="E26" s="18">
        <f>H22</f>
        <v>0</v>
      </c>
      <c r="H26" s="17"/>
    </row>
    <row r="27" spans="2:8" ht="12.75">
      <c r="B27" s="5"/>
      <c r="C27" t="s">
        <v>31</v>
      </c>
      <c r="E27" s="16">
        <v>0.302</v>
      </c>
      <c r="H27" s="17"/>
    </row>
    <row r="28" spans="2:8" ht="12.75">
      <c r="B28" s="5"/>
      <c r="E28" s="16"/>
      <c r="H28" s="17"/>
    </row>
    <row r="29" spans="1:9" ht="12.75">
      <c r="A29" s="22"/>
      <c r="B29" s="24" t="s">
        <v>32</v>
      </c>
      <c r="C29" s="21"/>
      <c r="D29" s="21"/>
      <c r="E29" s="21"/>
      <c r="F29" s="22"/>
      <c r="G29" s="22"/>
      <c r="H29" s="23">
        <f>SUM(E26*E27)</f>
        <v>0</v>
      </c>
      <c r="I29" s="22"/>
    </row>
    <row r="30" spans="2:8" ht="12.75">
      <c r="B30" s="5"/>
      <c r="H30" s="17"/>
    </row>
    <row r="31" spans="1:8" ht="12.75">
      <c r="A31" s="3" t="s">
        <v>33</v>
      </c>
      <c r="B31" s="9" t="s">
        <v>34</v>
      </c>
      <c r="C31" s="3"/>
      <c r="D31" s="3"/>
      <c r="E31" s="3"/>
      <c r="F31" s="3"/>
      <c r="G31" s="3"/>
      <c r="H31" s="17"/>
    </row>
    <row r="32" spans="2:8" ht="12.75">
      <c r="B32" s="5"/>
      <c r="H32" s="17"/>
    </row>
    <row r="33" spans="2:8" ht="12.75">
      <c r="B33" s="5"/>
      <c r="C33" t="s">
        <v>35</v>
      </c>
      <c r="E33">
        <v>30.83</v>
      </c>
      <c r="H33" s="17"/>
    </row>
    <row r="34" spans="2:8" ht="12.75">
      <c r="B34" s="5"/>
      <c r="C34" t="s">
        <v>17</v>
      </c>
      <c r="E34">
        <v>25</v>
      </c>
      <c r="H34" s="17"/>
    </row>
    <row r="35" spans="2:8" ht="12.75">
      <c r="B35" s="5"/>
      <c r="H35" s="17"/>
    </row>
    <row r="36" spans="1:9" ht="12.75">
      <c r="A36" s="22"/>
      <c r="B36" s="24" t="s">
        <v>36</v>
      </c>
      <c r="C36" s="21"/>
      <c r="D36" s="21"/>
      <c r="E36" s="21"/>
      <c r="F36" s="21"/>
      <c r="G36" s="21"/>
      <c r="H36" s="23">
        <f>E33*E34</f>
        <v>770.75</v>
      </c>
      <c r="I36" s="22"/>
    </row>
    <row r="37" spans="2:12" ht="12.75">
      <c r="B37" s="5"/>
      <c r="H37" s="17"/>
      <c r="L37" s="18"/>
    </row>
    <row r="38" spans="1:8" ht="12.75">
      <c r="A38" s="3" t="s">
        <v>46</v>
      </c>
      <c r="B38" s="5" t="s">
        <v>38</v>
      </c>
      <c r="E38" s="1"/>
      <c r="G38" s="1">
        <v>0.15</v>
      </c>
      <c r="H38" s="17">
        <f>(16000*25)*15%</f>
        <v>60000</v>
      </c>
    </row>
    <row r="39" spans="1:8" ht="12.75">
      <c r="A39" s="3" t="s">
        <v>49</v>
      </c>
      <c r="B39" s="5" t="s">
        <v>51</v>
      </c>
      <c r="E39" s="1"/>
      <c r="G39" s="1">
        <v>0.25</v>
      </c>
      <c r="H39" s="17">
        <f>(16000*25)*25%</f>
        <v>100000</v>
      </c>
    </row>
    <row r="40" spans="1:9" ht="13.5">
      <c r="A40" s="12"/>
      <c r="B40" s="13"/>
      <c r="C40" s="10"/>
      <c r="D40" s="12"/>
      <c r="E40" s="12"/>
      <c r="F40" s="12"/>
      <c r="G40" s="11"/>
      <c r="H40" s="19"/>
      <c r="I40" s="12"/>
    </row>
    <row r="41" spans="1:9" ht="13.5">
      <c r="A41" s="21"/>
      <c r="B41" s="25" t="s">
        <v>37</v>
      </c>
      <c r="C41" s="26"/>
      <c r="D41" s="26"/>
      <c r="E41" s="26"/>
      <c r="F41" s="26"/>
      <c r="G41" s="26"/>
      <c r="H41" s="27">
        <f>H22+H29+H36+H38+H39</f>
        <v>160770.75</v>
      </c>
      <c r="I41" s="21"/>
    </row>
    <row r="42" spans="1:9" ht="13.5">
      <c r="A42" s="12"/>
      <c r="B42" s="13"/>
      <c r="C42" s="12"/>
      <c r="D42" s="12"/>
      <c r="E42" s="12"/>
      <c r="F42" s="12"/>
      <c r="G42" s="12"/>
      <c r="H42" s="19"/>
      <c r="I42" s="12"/>
    </row>
    <row r="43" spans="2:9" ht="13.5">
      <c r="B43" s="5"/>
      <c r="C43" s="12" t="s">
        <v>39</v>
      </c>
      <c r="D43" s="12"/>
      <c r="E43" s="12"/>
      <c r="F43" s="12"/>
      <c r="G43" s="12"/>
      <c r="H43" s="19">
        <f>H41/25</f>
        <v>6430.83</v>
      </c>
      <c r="I43" s="12"/>
    </row>
    <row r="44" spans="2:8" ht="12.75">
      <c r="B44" s="5"/>
      <c r="H44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2"/>
  <sheetViews>
    <sheetView zoomScalePageLayoutView="0" workbookViewId="0" topLeftCell="A16">
      <selection activeCell="K41" sqref="K41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5.5" customHeight="1">
      <c r="A10" s="32" t="s">
        <v>179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22</v>
      </c>
      <c r="B13" s="9" t="s">
        <v>23</v>
      </c>
      <c r="C13" s="3"/>
      <c r="D13" s="3"/>
      <c r="E13" s="3"/>
      <c r="F13" s="3"/>
      <c r="G13" s="3"/>
      <c r="H13" s="17"/>
      <c r="I13" s="3"/>
    </row>
    <row r="14" spans="1:9" ht="12.75">
      <c r="A14" s="3"/>
      <c r="B14" s="9" t="s">
        <v>24</v>
      </c>
      <c r="C14" s="3" t="s">
        <v>25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13</v>
      </c>
      <c r="E15">
        <v>72</v>
      </c>
      <c r="H15" s="17"/>
    </row>
    <row r="16" spans="2:8" ht="12.75">
      <c r="B16" s="5"/>
      <c r="C16" t="s">
        <v>26</v>
      </c>
      <c r="E16">
        <v>432</v>
      </c>
      <c r="H16" s="17"/>
    </row>
    <row r="17" spans="2:8" ht="12.75">
      <c r="B17" s="5"/>
      <c r="H17" s="17"/>
    </row>
    <row r="18" spans="2:8" ht="12.75">
      <c r="B18" s="5"/>
      <c r="C18" t="s">
        <v>53</v>
      </c>
      <c r="H18" s="17">
        <f>E15*E16</f>
        <v>31104</v>
      </c>
    </row>
    <row r="19" spans="2:8" ht="12.75">
      <c r="B19" s="5"/>
      <c r="H19" s="17"/>
    </row>
    <row r="20" spans="1:9" ht="12.75">
      <c r="A20" s="21"/>
      <c r="B20" s="24" t="s">
        <v>28</v>
      </c>
      <c r="C20" s="21"/>
      <c r="D20" s="21"/>
      <c r="E20" s="21"/>
      <c r="F20" s="21"/>
      <c r="G20" s="21"/>
      <c r="H20" s="23">
        <f>H18</f>
        <v>31104</v>
      </c>
      <c r="I20" s="21"/>
    </row>
    <row r="21" spans="2:8" ht="12.75">
      <c r="B21" s="5"/>
      <c r="H21" s="17"/>
    </row>
    <row r="22" spans="1:9" ht="12.75">
      <c r="A22" s="3" t="s">
        <v>29</v>
      </c>
      <c r="B22" s="9" t="s">
        <v>30</v>
      </c>
      <c r="C22" s="3"/>
      <c r="D22" s="3"/>
      <c r="E22" s="3"/>
      <c r="F22" s="3"/>
      <c r="G22" s="3"/>
      <c r="H22" s="17"/>
      <c r="I22" s="3"/>
    </row>
    <row r="23" spans="2:8" ht="12.75">
      <c r="B23" s="5"/>
      <c r="H23" s="17"/>
    </row>
    <row r="24" spans="2:8" ht="12.75">
      <c r="B24" s="5"/>
      <c r="C24" t="s">
        <v>23</v>
      </c>
      <c r="E24" s="18">
        <f>H20</f>
        <v>31104</v>
      </c>
      <c r="H24" s="17"/>
    </row>
    <row r="25" spans="2:8" ht="12.75">
      <c r="B25" s="5"/>
      <c r="C25" t="s">
        <v>31</v>
      </c>
      <c r="E25" s="16">
        <v>0.302</v>
      </c>
      <c r="H25" s="17"/>
    </row>
    <row r="26" spans="2:8" ht="12.75">
      <c r="B26" s="5"/>
      <c r="E26" s="16"/>
      <c r="H26" s="17"/>
    </row>
    <row r="27" spans="1:9" ht="12.75">
      <c r="A27" s="22"/>
      <c r="B27" s="24" t="s">
        <v>32</v>
      </c>
      <c r="C27" s="21"/>
      <c r="D27" s="21"/>
      <c r="E27" s="21"/>
      <c r="F27" s="22"/>
      <c r="G27" s="22"/>
      <c r="H27" s="23">
        <f>SUM(E24*E25)</f>
        <v>9393.408</v>
      </c>
      <c r="I27" s="22"/>
    </row>
    <row r="28" spans="2:8" ht="12.75">
      <c r="B28" s="5"/>
      <c r="H28" s="17"/>
    </row>
    <row r="29" spans="1:8" ht="12.75">
      <c r="A29" s="3" t="s">
        <v>33</v>
      </c>
      <c r="B29" s="9" t="s">
        <v>34</v>
      </c>
      <c r="C29" s="3"/>
      <c r="D29" s="3"/>
      <c r="E29" s="3"/>
      <c r="F29" s="3"/>
      <c r="G29" s="3"/>
      <c r="H29" s="17"/>
    </row>
    <row r="30" spans="2:8" ht="12.75">
      <c r="B30" s="5"/>
      <c r="H30" s="17"/>
    </row>
    <row r="31" spans="2:8" ht="12.75">
      <c r="B31" s="5"/>
      <c r="C31" t="s">
        <v>35</v>
      </c>
      <c r="E31">
        <v>30.83</v>
      </c>
      <c r="H31" s="17"/>
    </row>
    <row r="32" spans="2:8" ht="12.75">
      <c r="B32" s="5"/>
      <c r="C32" t="s">
        <v>17</v>
      </c>
      <c r="E32">
        <v>25</v>
      </c>
      <c r="H32" s="17"/>
    </row>
    <row r="33" spans="2:8" ht="12.75">
      <c r="B33" s="5"/>
      <c r="H33" s="17"/>
    </row>
    <row r="34" spans="1:9" ht="12.75">
      <c r="A34" s="22"/>
      <c r="B34" s="24" t="s">
        <v>36</v>
      </c>
      <c r="C34" s="21"/>
      <c r="D34" s="21"/>
      <c r="E34" s="21"/>
      <c r="F34" s="21"/>
      <c r="G34" s="21"/>
      <c r="H34" s="23">
        <f>E31*E32</f>
        <v>770.75</v>
      </c>
      <c r="I34" s="22"/>
    </row>
    <row r="35" spans="2:12" ht="12.75">
      <c r="B35" s="5"/>
      <c r="H35" s="17"/>
      <c r="L35" s="18"/>
    </row>
    <row r="36" spans="1:8" ht="12.75">
      <c r="A36" s="3" t="s">
        <v>46</v>
      </c>
      <c r="B36" s="5" t="s">
        <v>38</v>
      </c>
      <c r="E36" s="1"/>
      <c r="G36" s="1">
        <v>0.2</v>
      </c>
      <c r="H36" s="17">
        <f>(20000*25)*20%</f>
        <v>100000</v>
      </c>
    </row>
    <row r="37" spans="1:8" ht="12.75">
      <c r="A37" s="3" t="s">
        <v>49</v>
      </c>
      <c r="B37" s="5" t="s">
        <v>51</v>
      </c>
      <c r="E37" s="1"/>
      <c r="G37" s="1">
        <v>0.25</v>
      </c>
      <c r="H37" s="17">
        <f>(20000*25)*25%</f>
        <v>125000</v>
      </c>
    </row>
    <row r="38" spans="1:9" ht="13.5">
      <c r="A38" s="12"/>
      <c r="B38" s="13"/>
      <c r="C38" s="10"/>
      <c r="D38" s="12"/>
      <c r="E38" s="12"/>
      <c r="F38" s="12"/>
      <c r="G38" s="11"/>
      <c r="H38" s="19"/>
      <c r="I38" s="12"/>
    </row>
    <row r="39" spans="1:9" ht="13.5">
      <c r="A39" s="21"/>
      <c r="B39" s="25" t="s">
        <v>37</v>
      </c>
      <c r="C39" s="26"/>
      <c r="D39" s="26"/>
      <c r="E39" s="26"/>
      <c r="F39" s="26"/>
      <c r="G39" s="26"/>
      <c r="H39" s="27">
        <f>H20+H27+H34+H36+H37</f>
        <v>266268.158</v>
      </c>
      <c r="I39" s="21"/>
    </row>
    <row r="40" spans="1:9" ht="13.5">
      <c r="A40" s="12"/>
      <c r="B40" s="13"/>
      <c r="C40" s="12"/>
      <c r="D40" s="12"/>
      <c r="E40" s="12"/>
      <c r="F40" s="12"/>
      <c r="G40" s="12"/>
      <c r="H40" s="19"/>
      <c r="I40" s="12"/>
    </row>
    <row r="41" spans="2:9" ht="13.5">
      <c r="B41" s="5"/>
      <c r="C41" s="12" t="s">
        <v>39</v>
      </c>
      <c r="D41" s="12"/>
      <c r="E41" s="12"/>
      <c r="F41" s="12"/>
      <c r="G41" s="12"/>
      <c r="H41" s="19">
        <f>H39/25</f>
        <v>10650.72632</v>
      </c>
      <c r="I41" s="12"/>
    </row>
    <row r="42" spans="2:8" ht="12.75">
      <c r="B42" s="5"/>
      <c r="H4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2"/>
  <sheetViews>
    <sheetView zoomScalePageLayoutView="0" workbookViewId="0" topLeftCell="A16">
      <selection activeCell="E16" sqref="E16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0" max="10" width="9.125" style="0" customWidth="1"/>
    <col min="11" max="11" width="2.50390625" style="0" hidden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4" t="s">
        <v>125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22</v>
      </c>
      <c r="B13" s="9" t="s">
        <v>23</v>
      </c>
      <c r="C13" s="3"/>
      <c r="D13" s="3"/>
      <c r="E13" s="3"/>
      <c r="F13" s="3"/>
      <c r="G13" s="3"/>
      <c r="H13" s="17"/>
      <c r="I13" s="3"/>
    </row>
    <row r="14" spans="1:9" ht="12.75">
      <c r="A14" s="3"/>
      <c r="B14" s="9" t="s">
        <v>24</v>
      </c>
      <c r="C14" s="3" t="s">
        <v>25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13</v>
      </c>
      <c r="E15">
        <v>380</v>
      </c>
      <c r="H15" s="17"/>
    </row>
    <row r="16" spans="2:8" ht="12.75">
      <c r="B16" s="5"/>
      <c r="C16" t="s">
        <v>26</v>
      </c>
      <c r="E16">
        <v>432</v>
      </c>
      <c r="H16" s="17"/>
    </row>
    <row r="17" spans="2:8" ht="12.75">
      <c r="B17" s="5"/>
      <c r="H17" s="17"/>
    </row>
    <row r="18" spans="2:8" ht="12.75">
      <c r="B18" s="5"/>
      <c r="C18" t="s">
        <v>128</v>
      </c>
      <c r="H18" s="17">
        <f>E15*E16</f>
        <v>164160</v>
      </c>
    </row>
    <row r="19" spans="2:8" ht="12.75">
      <c r="B19" s="5"/>
      <c r="H19" s="17"/>
    </row>
    <row r="20" spans="1:9" ht="12.75">
      <c r="A20" s="21"/>
      <c r="B20" s="24" t="s">
        <v>28</v>
      </c>
      <c r="C20" s="21"/>
      <c r="D20" s="21"/>
      <c r="E20" s="21"/>
      <c r="F20" s="21"/>
      <c r="G20" s="21"/>
      <c r="H20" s="23">
        <f>H18</f>
        <v>164160</v>
      </c>
      <c r="I20" s="21"/>
    </row>
    <row r="21" spans="2:8" ht="12.75">
      <c r="B21" s="5"/>
      <c r="H21" s="17"/>
    </row>
    <row r="22" spans="1:9" ht="12.75">
      <c r="A22" s="3" t="s">
        <v>29</v>
      </c>
      <c r="B22" s="9" t="s">
        <v>30</v>
      </c>
      <c r="C22" s="3"/>
      <c r="D22" s="3"/>
      <c r="E22" s="3"/>
      <c r="F22" s="3"/>
      <c r="G22" s="3"/>
      <c r="H22" s="17"/>
      <c r="I22" s="3"/>
    </row>
    <row r="23" spans="2:8" ht="12.75">
      <c r="B23" s="5"/>
      <c r="H23" s="17"/>
    </row>
    <row r="24" spans="2:8" ht="12.75">
      <c r="B24" s="5"/>
      <c r="C24" t="s">
        <v>23</v>
      </c>
      <c r="E24" s="18">
        <f>H20</f>
        <v>164160</v>
      </c>
      <c r="H24" s="17"/>
    </row>
    <row r="25" spans="2:8" ht="12.75">
      <c r="B25" s="5"/>
      <c r="C25" t="s">
        <v>31</v>
      </c>
      <c r="E25" s="16">
        <v>0.302</v>
      </c>
      <c r="H25" s="17"/>
    </row>
    <row r="26" spans="2:8" ht="12.75">
      <c r="B26" s="5"/>
      <c r="E26" s="16"/>
      <c r="H26" s="17"/>
    </row>
    <row r="27" spans="1:9" ht="12.75">
      <c r="A27" s="22"/>
      <c r="B27" s="24" t="s">
        <v>32</v>
      </c>
      <c r="C27" s="21"/>
      <c r="D27" s="21"/>
      <c r="E27" s="21"/>
      <c r="F27" s="22"/>
      <c r="G27" s="22"/>
      <c r="H27" s="23">
        <f>SUM(E24*E25)</f>
        <v>49576.32</v>
      </c>
      <c r="I27" s="22"/>
    </row>
    <row r="28" spans="2:8" ht="12.75">
      <c r="B28" s="5"/>
      <c r="H28" s="17"/>
    </row>
    <row r="29" spans="1:8" ht="12.75">
      <c r="A29" s="3" t="s">
        <v>33</v>
      </c>
      <c r="B29" s="9" t="s">
        <v>34</v>
      </c>
      <c r="C29" s="3"/>
      <c r="D29" s="3"/>
      <c r="E29" s="3"/>
      <c r="F29" s="3"/>
      <c r="G29" s="3"/>
      <c r="H29" s="17"/>
    </row>
    <row r="30" spans="2:8" ht="12.75">
      <c r="B30" s="5"/>
      <c r="H30" s="17"/>
    </row>
    <row r="31" spans="2:8" ht="12.75">
      <c r="B31" s="5"/>
      <c r="C31" t="s">
        <v>35</v>
      </c>
      <c r="E31">
        <v>30.83</v>
      </c>
      <c r="H31" s="17"/>
    </row>
    <row r="32" spans="2:8" ht="12.75">
      <c r="B32" s="5"/>
      <c r="C32" t="s">
        <v>17</v>
      </c>
      <c r="E32">
        <v>25</v>
      </c>
      <c r="H32" s="17"/>
    </row>
    <row r="33" spans="2:8" ht="12.75">
      <c r="B33" s="5"/>
      <c r="H33" s="17"/>
    </row>
    <row r="34" spans="1:9" ht="12.75">
      <c r="A34" s="22"/>
      <c r="B34" s="24" t="s">
        <v>36</v>
      </c>
      <c r="C34" s="21"/>
      <c r="D34" s="21"/>
      <c r="E34" s="21"/>
      <c r="F34" s="21"/>
      <c r="G34" s="21"/>
      <c r="H34" s="23">
        <f>E31*E32</f>
        <v>770.75</v>
      </c>
      <c r="I34" s="22"/>
    </row>
    <row r="35" spans="2:12" ht="12.75">
      <c r="B35" s="5"/>
      <c r="H35" s="17"/>
      <c r="L35" s="18"/>
    </row>
    <row r="36" spans="1:8" ht="12.75">
      <c r="A36" s="3" t="s">
        <v>46</v>
      </c>
      <c r="B36" s="5" t="s">
        <v>38</v>
      </c>
      <c r="E36" s="1"/>
      <c r="G36" s="1">
        <v>0.1</v>
      </c>
      <c r="H36" s="17">
        <f>(20393*25)*10%</f>
        <v>50982.5</v>
      </c>
    </row>
    <row r="37" spans="1:8" ht="12.75">
      <c r="A37" s="3" t="s">
        <v>49</v>
      </c>
      <c r="B37" s="5" t="s">
        <v>51</v>
      </c>
      <c r="E37" s="1"/>
      <c r="G37" s="1">
        <v>0.2</v>
      </c>
      <c r="H37" s="17">
        <f>(20393*25)*20%</f>
        <v>101965</v>
      </c>
    </row>
    <row r="38" spans="1:9" ht="13.5">
      <c r="A38" s="12"/>
      <c r="B38" s="13"/>
      <c r="C38" s="10"/>
      <c r="D38" s="12"/>
      <c r="E38" s="12"/>
      <c r="F38" s="12"/>
      <c r="G38" s="11"/>
      <c r="H38" s="19"/>
      <c r="I38" s="12"/>
    </row>
    <row r="39" spans="1:9" ht="13.5">
      <c r="A39" s="21"/>
      <c r="B39" s="25" t="s">
        <v>37</v>
      </c>
      <c r="C39" s="26"/>
      <c r="D39" s="26"/>
      <c r="E39" s="26"/>
      <c r="F39" s="26"/>
      <c r="G39" s="26"/>
      <c r="H39" s="27">
        <f>H20+H27+H34+H36+H37</f>
        <v>367454.57</v>
      </c>
      <c r="I39" s="21"/>
    </row>
    <row r="40" spans="1:9" ht="13.5">
      <c r="A40" s="12"/>
      <c r="B40" s="13"/>
      <c r="C40" s="12"/>
      <c r="D40" s="12"/>
      <c r="E40" s="12"/>
      <c r="F40" s="12"/>
      <c r="G40" s="12"/>
      <c r="H40" s="19"/>
      <c r="I40" s="12"/>
    </row>
    <row r="41" spans="2:9" ht="13.5">
      <c r="B41" s="5"/>
      <c r="C41" s="12" t="s">
        <v>39</v>
      </c>
      <c r="D41" s="12"/>
      <c r="E41" s="12"/>
      <c r="F41" s="12"/>
      <c r="G41" s="12"/>
      <c r="H41" s="19">
        <f>H39/25</f>
        <v>14698.1828</v>
      </c>
      <c r="I41" s="12"/>
    </row>
    <row r="42" spans="2:8" ht="12.75">
      <c r="B42" s="5"/>
      <c r="H4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44">
      <selection activeCell="H86" sqref="H86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228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2" t="s">
        <v>222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11" ht="12.75">
      <c r="B17" s="5"/>
      <c r="C17" t="s">
        <v>42</v>
      </c>
      <c r="E17">
        <v>75279</v>
      </c>
      <c r="H17" s="17"/>
      <c r="K17" s="29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223</v>
      </c>
      <c r="H20" s="17">
        <f>E15*E16*0.054/365*6</f>
        <v>16188.559693150684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44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224</v>
      </c>
      <c r="H30" s="17">
        <f>SUM((E23*E24)+(E25*E26))*E27*E28</f>
        <v>840.84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6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225</v>
      </c>
      <c r="H38" s="17">
        <f>SUM(E33*E34*E35*E36)</f>
        <v>91.095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6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226</v>
      </c>
      <c r="H46" s="17">
        <f>SUM(E41*E42*E43*E44)</f>
        <v>128.82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17249.314693150685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44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227</v>
      </c>
      <c r="H55" s="17">
        <f>E52*E53</f>
        <v>19008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(5000*25)*25%</f>
        <v>31250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50258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50258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15177.916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</v>
      </c>
      <c r="H76" s="17">
        <f>(5540*25)*10%</f>
        <v>13850</v>
      </c>
    </row>
    <row r="77" spans="1:8" ht="12.75">
      <c r="A77" s="3" t="s">
        <v>49</v>
      </c>
      <c r="B77" s="5" t="s">
        <v>51</v>
      </c>
      <c r="E77" s="1"/>
      <c r="G77" s="1">
        <v>0.2</v>
      </c>
      <c r="H77" s="17">
        <f>(5540*25)*20%</f>
        <v>27700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125005.98069315069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5000.239227726028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4"/>
  <sheetViews>
    <sheetView zoomScalePageLayoutView="0" workbookViewId="0" topLeftCell="A7">
      <selection activeCell="J30" sqref="J30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1" max="11" width="6.625" style="0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2" t="s">
        <v>169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8" ht="12.75">
      <c r="A13" s="3"/>
      <c r="B13" s="5"/>
      <c r="H13" s="17"/>
    </row>
    <row r="14" spans="1:9" ht="12.75">
      <c r="A14" s="3" t="s">
        <v>22</v>
      </c>
      <c r="B14" s="9" t="s">
        <v>23</v>
      </c>
      <c r="C14" s="3"/>
      <c r="D14" s="3"/>
      <c r="E14" s="3"/>
      <c r="F14" s="3"/>
      <c r="G14" s="3"/>
      <c r="H14" s="17"/>
      <c r="I14" s="3"/>
    </row>
    <row r="15" spans="1:9" ht="12.75">
      <c r="A15" s="3"/>
      <c r="B15" s="9" t="s">
        <v>24</v>
      </c>
      <c r="C15" s="3" t="s">
        <v>25</v>
      </c>
      <c r="D15" s="3"/>
      <c r="E15" s="3"/>
      <c r="F15" s="3"/>
      <c r="G15" s="3"/>
      <c r="H15" s="17"/>
      <c r="I15" s="3"/>
    </row>
    <row r="16" spans="2:8" ht="12.75">
      <c r="B16" s="5"/>
      <c r="C16" t="s">
        <v>13</v>
      </c>
      <c r="E16">
        <v>16</v>
      </c>
      <c r="H16" s="17"/>
    </row>
    <row r="17" spans="2:8" ht="12.75">
      <c r="B17" s="5"/>
      <c r="C17" t="s">
        <v>26</v>
      </c>
      <c r="E17">
        <v>432</v>
      </c>
      <c r="H17" s="17"/>
    </row>
    <row r="18" spans="2:8" ht="12.75">
      <c r="B18" s="5"/>
      <c r="H18" s="17"/>
    </row>
    <row r="19" spans="2:8" ht="12.75">
      <c r="B19" s="5"/>
      <c r="C19" t="s">
        <v>171</v>
      </c>
      <c r="H19" s="17">
        <f>E16*E17</f>
        <v>6912</v>
      </c>
    </row>
    <row r="20" spans="2:8" ht="12.75">
      <c r="B20" s="5"/>
      <c r="H20" s="17"/>
    </row>
    <row r="21" spans="2:8" ht="12.75">
      <c r="B21" s="5"/>
      <c r="H21" s="17"/>
    </row>
    <row r="22" spans="1:9" ht="12.75">
      <c r="A22" s="21"/>
      <c r="B22" s="24" t="s">
        <v>28</v>
      </c>
      <c r="C22" s="21"/>
      <c r="D22" s="21"/>
      <c r="E22" s="21"/>
      <c r="F22" s="21"/>
      <c r="G22" s="21"/>
      <c r="H22" s="23">
        <f>H19</f>
        <v>6912</v>
      </c>
      <c r="I22" s="21"/>
    </row>
    <row r="23" spans="2:8" ht="12.75">
      <c r="B23" s="5"/>
      <c r="H23" s="17"/>
    </row>
    <row r="24" spans="1:9" ht="12.75">
      <c r="A24" s="3" t="s">
        <v>29</v>
      </c>
      <c r="B24" s="9" t="s">
        <v>30</v>
      </c>
      <c r="C24" s="3"/>
      <c r="D24" s="3"/>
      <c r="E24" s="3"/>
      <c r="F24" s="3"/>
      <c r="G24" s="3"/>
      <c r="H24" s="17"/>
      <c r="I24" s="3"/>
    </row>
    <row r="25" spans="2:8" ht="12.75">
      <c r="B25" s="5"/>
      <c r="H25" s="17"/>
    </row>
    <row r="26" spans="2:8" ht="12.75">
      <c r="B26" s="5"/>
      <c r="C26" t="s">
        <v>23</v>
      </c>
      <c r="E26" s="18">
        <f>H22</f>
        <v>6912</v>
      </c>
      <c r="H26" s="17"/>
    </row>
    <row r="27" spans="2:8" ht="12.75">
      <c r="B27" s="5"/>
      <c r="C27" t="s">
        <v>31</v>
      </c>
      <c r="E27" s="16">
        <v>0.302</v>
      </c>
      <c r="H27" s="17"/>
    </row>
    <row r="28" spans="2:8" ht="12.75">
      <c r="B28" s="5"/>
      <c r="E28" s="16"/>
      <c r="H28" s="17"/>
    </row>
    <row r="29" spans="1:9" ht="12.75">
      <c r="A29" s="22"/>
      <c r="B29" s="24" t="s">
        <v>32</v>
      </c>
      <c r="C29" s="21"/>
      <c r="D29" s="21"/>
      <c r="E29" s="21"/>
      <c r="F29" s="22"/>
      <c r="G29" s="22"/>
      <c r="H29" s="23">
        <f>SUM(E26*E27)</f>
        <v>2087.424</v>
      </c>
      <c r="I29" s="22"/>
    </row>
    <row r="30" spans="2:8" ht="12.75">
      <c r="B30" s="5"/>
      <c r="H30" s="17"/>
    </row>
    <row r="31" spans="1:8" ht="12.75">
      <c r="A31" s="3" t="s">
        <v>33</v>
      </c>
      <c r="B31" s="9" t="s">
        <v>34</v>
      </c>
      <c r="C31" s="3"/>
      <c r="D31" s="3"/>
      <c r="E31" s="3"/>
      <c r="F31" s="3"/>
      <c r="G31" s="3"/>
      <c r="H31" s="17"/>
    </row>
    <row r="32" spans="2:8" ht="12.75">
      <c r="B32" s="5"/>
      <c r="H32" s="17"/>
    </row>
    <row r="33" spans="2:8" ht="12.75">
      <c r="B33" s="5"/>
      <c r="C33" t="s">
        <v>35</v>
      </c>
      <c r="E33">
        <v>30.83</v>
      </c>
      <c r="H33" s="17"/>
    </row>
    <row r="34" spans="2:8" ht="12.75">
      <c r="B34" s="5"/>
      <c r="C34" t="s">
        <v>17</v>
      </c>
      <c r="E34">
        <v>25</v>
      </c>
      <c r="H34" s="17"/>
    </row>
    <row r="35" spans="2:8" ht="12.75">
      <c r="B35" s="5"/>
      <c r="H35" s="17"/>
    </row>
    <row r="36" spans="1:9" ht="12.75">
      <c r="A36" s="22"/>
      <c r="B36" s="24" t="s">
        <v>36</v>
      </c>
      <c r="C36" s="21"/>
      <c r="D36" s="21"/>
      <c r="E36" s="21"/>
      <c r="F36" s="21"/>
      <c r="G36" s="21"/>
      <c r="H36" s="23">
        <f>E33*E34</f>
        <v>770.75</v>
      </c>
      <c r="I36" s="22"/>
    </row>
    <row r="37" spans="2:12" ht="12.75">
      <c r="B37" s="5"/>
      <c r="H37" s="17"/>
      <c r="L37" s="18"/>
    </row>
    <row r="38" spans="1:8" ht="12.75">
      <c r="A38" s="3" t="s">
        <v>46</v>
      </c>
      <c r="B38" s="5" t="s">
        <v>38</v>
      </c>
      <c r="E38" s="1"/>
      <c r="G38" s="1">
        <v>0.15</v>
      </c>
      <c r="H38" s="17">
        <f>(6243*25)*15%</f>
        <v>23411.25</v>
      </c>
    </row>
    <row r="39" spans="1:8" ht="12.75">
      <c r="A39" s="3" t="s">
        <v>49</v>
      </c>
      <c r="B39" s="5" t="s">
        <v>51</v>
      </c>
      <c r="E39" s="1"/>
      <c r="G39" s="1">
        <v>0.25</v>
      </c>
      <c r="H39" s="17">
        <f>(6243*25)*25%</f>
        <v>39018.75</v>
      </c>
    </row>
    <row r="40" spans="1:9" ht="13.5">
      <c r="A40" s="12"/>
      <c r="B40" s="13"/>
      <c r="C40" s="10"/>
      <c r="D40" s="12"/>
      <c r="E40" s="12"/>
      <c r="F40" s="12"/>
      <c r="G40" s="11"/>
      <c r="H40" s="19"/>
      <c r="I40" s="12"/>
    </row>
    <row r="41" spans="1:9" ht="13.5">
      <c r="A41" s="21"/>
      <c r="B41" s="25" t="s">
        <v>37</v>
      </c>
      <c r="C41" s="26"/>
      <c r="D41" s="26"/>
      <c r="E41" s="26"/>
      <c r="F41" s="26"/>
      <c r="G41" s="26"/>
      <c r="H41" s="27">
        <f>H22+H29+H36+H38+H39</f>
        <v>72200.174</v>
      </c>
      <c r="I41" s="21"/>
    </row>
    <row r="42" spans="1:9" ht="13.5">
      <c r="A42" s="12"/>
      <c r="B42" s="13"/>
      <c r="C42" s="12"/>
      <c r="D42" s="12"/>
      <c r="E42" s="12"/>
      <c r="F42" s="12"/>
      <c r="G42" s="12"/>
      <c r="H42" s="19"/>
      <c r="I42" s="12"/>
    </row>
    <row r="43" spans="2:9" ht="13.5">
      <c r="B43" s="5"/>
      <c r="C43" s="12" t="s">
        <v>39</v>
      </c>
      <c r="D43" s="12"/>
      <c r="E43" s="12"/>
      <c r="F43" s="12"/>
      <c r="G43" s="12"/>
      <c r="H43" s="19">
        <f>H41/25</f>
        <v>2888.00696</v>
      </c>
      <c r="I43" s="12"/>
    </row>
    <row r="44" spans="2:8" ht="12.75">
      <c r="B44" s="5"/>
      <c r="H44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4"/>
  <sheetViews>
    <sheetView zoomScalePageLayoutView="0" workbookViewId="0" topLeftCell="A16">
      <selection activeCell="N28" sqref="N28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  <col min="10" max="10" width="7.125" style="0" customWidth="1"/>
    <col min="11" max="11" width="6.125" style="0" hidden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24.75" customHeight="1">
      <c r="A10" s="32" t="s">
        <v>220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8" ht="12.75">
      <c r="A13" s="3"/>
      <c r="B13" s="5"/>
      <c r="H13" s="17"/>
    </row>
    <row r="14" spans="1:9" ht="12.75">
      <c r="A14" s="3" t="s">
        <v>22</v>
      </c>
      <c r="B14" s="9" t="s">
        <v>23</v>
      </c>
      <c r="C14" s="3"/>
      <c r="D14" s="3"/>
      <c r="E14" s="3"/>
      <c r="F14" s="3"/>
      <c r="G14" s="3"/>
      <c r="H14" s="17"/>
      <c r="I14" s="3"/>
    </row>
    <row r="15" spans="1:9" ht="12.75">
      <c r="A15" s="3"/>
      <c r="B15" s="9" t="s">
        <v>24</v>
      </c>
      <c r="C15" s="3" t="s">
        <v>25</v>
      </c>
      <c r="D15" s="3"/>
      <c r="E15" s="3"/>
      <c r="F15" s="3"/>
      <c r="G15" s="3"/>
      <c r="H15" s="17"/>
      <c r="I15" s="3"/>
    </row>
    <row r="16" spans="2:8" ht="12.75">
      <c r="B16" s="5"/>
      <c r="C16" t="s">
        <v>13</v>
      </c>
      <c r="E16">
        <v>18</v>
      </c>
      <c r="H16" s="17"/>
    </row>
    <row r="17" spans="2:8" ht="12.75">
      <c r="B17" s="5"/>
      <c r="C17" t="s">
        <v>26</v>
      </c>
      <c r="E17">
        <v>432</v>
      </c>
      <c r="H17" s="17"/>
    </row>
    <row r="18" spans="2:8" ht="12.75">
      <c r="B18" s="5"/>
      <c r="H18" s="17"/>
    </row>
    <row r="19" spans="2:8" ht="12.75">
      <c r="B19" s="5"/>
      <c r="C19" t="s">
        <v>145</v>
      </c>
      <c r="H19" s="17">
        <f>E16*E17</f>
        <v>7776</v>
      </c>
    </row>
    <row r="20" spans="2:8" ht="12.75">
      <c r="B20" s="5"/>
      <c r="H20" s="17"/>
    </row>
    <row r="21" spans="2:8" ht="12.75">
      <c r="B21" s="5"/>
      <c r="H21" s="17"/>
    </row>
    <row r="22" spans="1:9" ht="12.75">
      <c r="A22" s="21"/>
      <c r="B22" s="24" t="s">
        <v>28</v>
      </c>
      <c r="C22" s="21"/>
      <c r="D22" s="21"/>
      <c r="E22" s="21"/>
      <c r="F22" s="21"/>
      <c r="G22" s="21"/>
      <c r="H22" s="23">
        <f>H19</f>
        <v>7776</v>
      </c>
      <c r="I22" s="21"/>
    </row>
    <row r="23" spans="2:8" ht="12.75">
      <c r="B23" s="5"/>
      <c r="H23" s="17"/>
    </row>
    <row r="24" spans="1:9" ht="12.75">
      <c r="A24" s="3" t="s">
        <v>29</v>
      </c>
      <c r="B24" s="9" t="s">
        <v>30</v>
      </c>
      <c r="C24" s="3"/>
      <c r="D24" s="3"/>
      <c r="E24" s="3"/>
      <c r="F24" s="3"/>
      <c r="G24" s="3"/>
      <c r="H24" s="17"/>
      <c r="I24" s="3"/>
    </row>
    <row r="25" spans="2:8" ht="12.75">
      <c r="B25" s="5"/>
      <c r="H25" s="17"/>
    </row>
    <row r="26" spans="2:8" ht="12.75">
      <c r="B26" s="5"/>
      <c r="C26" t="s">
        <v>23</v>
      </c>
      <c r="E26" s="18">
        <f>H22</f>
        <v>7776</v>
      </c>
      <c r="H26" s="17"/>
    </row>
    <row r="27" spans="2:8" ht="12.75">
      <c r="B27" s="5"/>
      <c r="C27" t="s">
        <v>31</v>
      </c>
      <c r="E27" s="16">
        <v>0.302</v>
      </c>
      <c r="H27" s="17"/>
    </row>
    <row r="28" spans="2:8" ht="12.75">
      <c r="B28" s="5"/>
      <c r="E28" s="16"/>
      <c r="H28" s="17"/>
    </row>
    <row r="29" spans="1:9" ht="12.75">
      <c r="A29" s="22"/>
      <c r="B29" s="24" t="s">
        <v>32</v>
      </c>
      <c r="C29" s="21"/>
      <c r="D29" s="21"/>
      <c r="E29" s="21"/>
      <c r="F29" s="22"/>
      <c r="G29" s="22"/>
      <c r="H29" s="23">
        <f>SUM(E26*E27)</f>
        <v>2348.352</v>
      </c>
      <c r="I29" s="22"/>
    </row>
    <row r="30" spans="2:8" ht="12.75">
      <c r="B30" s="5"/>
      <c r="H30" s="17"/>
    </row>
    <row r="31" spans="1:8" ht="12.75">
      <c r="A31" s="3" t="s">
        <v>33</v>
      </c>
      <c r="B31" s="9" t="s">
        <v>34</v>
      </c>
      <c r="C31" s="3"/>
      <c r="D31" s="3"/>
      <c r="E31" s="3"/>
      <c r="F31" s="3"/>
      <c r="G31" s="3"/>
      <c r="H31" s="17"/>
    </row>
    <row r="32" spans="2:8" ht="12.75">
      <c r="B32" s="5"/>
      <c r="H32" s="17"/>
    </row>
    <row r="33" spans="2:8" ht="12.75">
      <c r="B33" s="5"/>
      <c r="C33" t="s">
        <v>35</v>
      </c>
      <c r="E33">
        <v>30.83</v>
      </c>
      <c r="H33" s="17"/>
    </row>
    <row r="34" spans="2:8" ht="12.75">
      <c r="B34" s="5"/>
      <c r="C34" t="s">
        <v>17</v>
      </c>
      <c r="E34">
        <v>25</v>
      </c>
      <c r="H34" s="17"/>
    </row>
    <row r="35" spans="2:8" ht="12.75">
      <c r="B35" s="5"/>
      <c r="H35" s="17"/>
    </row>
    <row r="36" spans="1:9" ht="12.75">
      <c r="A36" s="22"/>
      <c r="B36" s="24" t="s">
        <v>36</v>
      </c>
      <c r="C36" s="21"/>
      <c r="D36" s="21"/>
      <c r="E36" s="21"/>
      <c r="F36" s="21"/>
      <c r="G36" s="21"/>
      <c r="H36" s="23">
        <f>E33*E34</f>
        <v>770.75</v>
      </c>
      <c r="I36" s="22"/>
    </row>
    <row r="37" spans="2:12" ht="12.75">
      <c r="B37" s="5"/>
      <c r="H37" s="17"/>
      <c r="L37" s="18"/>
    </row>
    <row r="38" spans="1:8" ht="12.75">
      <c r="A38" s="3" t="s">
        <v>46</v>
      </c>
      <c r="B38" s="5" t="s">
        <v>38</v>
      </c>
      <c r="E38" s="1"/>
      <c r="G38" s="1">
        <v>0.15</v>
      </c>
      <c r="H38" s="17">
        <f>(7161*25)*15%</f>
        <v>26853.75</v>
      </c>
    </row>
    <row r="39" spans="1:8" ht="12.75">
      <c r="A39" s="3" t="s">
        <v>49</v>
      </c>
      <c r="B39" s="5" t="s">
        <v>51</v>
      </c>
      <c r="E39" s="1"/>
      <c r="G39" s="1">
        <v>0.25</v>
      </c>
      <c r="H39" s="17">
        <f>(7161*25)*25%</f>
        <v>44756.25</v>
      </c>
    </row>
    <row r="40" spans="1:9" ht="13.5">
      <c r="A40" s="12"/>
      <c r="B40" s="13"/>
      <c r="C40" s="10"/>
      <c r="D40" s="12"/>
      <c r="E40" s="12"/>
      <c r="F40" s="12"/>
      <c r="G40" s="11"/>
      <c r="H40" s="19"/>
      <c r="I40" s="12"/>
    </row>
    <row r="41" spans="1:9" ht="13.5">
      <c r="A41" s="21"/>
      <c r="B41" s="25" t="s">
        <v>37</v>
      </c>
      <c r="C41" s="26"/>
      <c r="D41" s="26"/>
      <c r="E41" s="26"/>
      <c r="F41" s="26"/>
      <c r="G41" s="26"/>
      <c r="H41" s="27">
        <f>H22+H29+H36+H38+H39</f>
        <v>82505.102</v>
      </c>
      <c r="I41" s="21"/>
    </row>
    <row r="42" spans="1:9" ht="13.5">
      <c r="A42" s="12"/>
      <c r="B42" s="13"/>
      <c r="C42" s="12"/>
      <c r="D42" s="12"/>
      <c r="E42" s="12"/>
      <c r="F42" s="12"/>
      <c r="G42" s="12"/>
      <c r="H42" s="19"/>
      <c r="I42" s="12"/>
    </row>
    <row r="43" spans="2:9" ht="13.5">
      <c r="B43" s="5"/>
      <c r="C43" s="12" t="s">
        <v>39</v>
      </c>
      <c r="D43" s="12"/>
      <c r="E43" s="12"/>
      <c r="F43" s="12"/>
      <c r="G43" s="12"/>
      <c r="H43" s="19">
        <f>H41/25</f>
        <v>3300.20408</v>
      </c>
      <c r="I43" s="12"/>
    </row>
    <row r="44" spans="2:8" ht="12.75">
      <c r="B44" s="5"/>
      <c r="H44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0">
      <selection activeCell="F53" sqref="F53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2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14.125" style="0" customWidth="1"/>
    <col min="4" max="4" width="16.625" style="0" customWidth="1"/>
    <col min="5" max="5" width="9.625" style="0" bestFit="1" customWidth="1"/>
    <col min="8" max="8" width="10.125" style="0" bestFit="1" customWidth="1"/>
  </cols>
  <sheetData>
    <row r="1" spans="2:11" ht="12.75">
      <c r="B1" s="5"/>
      <c r="F1" s="31" t="s">
        <v>45</v>
      </c>
      <c r="G1" s="31"/>
      <c r="H1" s="31"/>
      <c r="I1" s="31"/>
      <c r="J1" s="31"/>
      <c r="K1" s="31"/>
    </row>
    <row r="2" spans="2:9" ht="12.75">
      <c r="B2" s="5"/>
      <c r="D2" s="7"/>
      <c r="E2" s="7"/>
      <c r="F2" s="4"/>
      <c r="G2" s="4"/>
      <c r="H2" s="4"/>
      <c r="I2" s="4"/>
    </row>
    <row r="3" spans="2:11" ht="12.75">
      <c r="B3" s="5"/>
      <c r="D3" s="7"/>
      <c r="E3" s="7"/>
      <c r="F3" s="31" t="s">
        <v>50</v>
      </c>
      <c r="G3" s="31"/>
      <c r="H3" s="31"/>
      <c r="I3" s="31"/>
      <c r="J3" s="31"/>
      <c r="K3" s="31"/>
    </row>
    <row r="4" spans="2:11" ht="12.75">
      <c r="B4" s="5"/>
      <c r="D4" s="7"/>
      <c r="E4" s="7"/>
      <c r="F4" s="20"/>
      <c r="G4" s="20"/>
      <c r="H4" s="20"/>
      <c r="I4" s="20"/>
      <c r="J4" s="20"/>
      <c r="K4" s="20"/>
    </row>
    <row r="5" spans="2:11" ht="12.75">
      <c r="B5" s="5"/>
      <c r="D5" s="7"/>
      <c r="E5" s="7"/>
      <c r="F5" s="31" t="s">
        <v>52</v>
      </c>
      <c r="G5" s="31"/>
      <c r="H5" s="31"/>
      <c r="I5" s="31"/>
      <c r="J5" s="31"/>
      <c r="K5" s="31"/>
    </row>
    <row r="6" spans="2:5" ht="12.75">
      <c r="B6" s="5"/>
      <c r="D6" s="7"/>
      <c r="E6" s="7"/>
    </row>
    <row r="7" spans="2:11" ht="12.75">
      <c r="B7" s="5"/>
      <c r="F7" s="31" t="s">
        <v>55</v>
      </c>
      <c r="G7" s="31"/>
      <c r="H7" s="31"/>
      <c r="I7" s="31"/>
      <c r="J7" s="31"/>
      <c r="K7" s="31"/>
    </row>
    <row r="8" ht="12.75">
      <c r="B8" s="5"/>
    </row>
    <row r="9" spans="1:11" ht="12.75">
      <c r="A9" s="30" t="s">
        <v>54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6" customFormat="1" ht="12.75">
      <c r="A10" s="30" t="s">
        <v>68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9" ht="12.75">
      <c r="A12" s="6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3" t="s">
        <v>2</v>
      </c>
      <c r="B13" s="9" t="s">
        <v>3</v>
      </c>
      <c r="C13" s="3"/>
      <c r="D13" s="3"/>
      <c r="E13" s="3"/>
      <c r="F13" s="3"/>
      <c r="G13" s="3"/>
      <c r="H13" s="8"/>
      <c r="I13" s="3"/>
    </row>
    <row r="14" spans="1:9" ht="12.75">
      <c r="A14" s="3"/>
      <c r="B14" s="9" t="s">
        <v>4</v>
      </c>
      <c r="C14" s="3" t="s">
        <v>5</v>
      </c>
      <c r="D14" s="3"/>
      <c r="E14" s="3"/>
      <c r="F14" s="3"/>
      <c r="G14" s="3"/>
      <c r="H14" s="17"/>
      <c r="I14" s="3"/>
    </row>
    <row r="15" spans="2:8" ht="12.75">
      <c r="B15" s="5"/>
      <c r="C15" t="s">
        <v>1</v>
      </c>
      <c r="E15">
        <v>2399.62</v>
      </c>
      <c r="H15" s="17"/>
    </row>
    <row r="16" spans="2:8" ht="12.75">
      <c r="B16" s="5"/>
      <c r="C16" t="s">
        <v>6</v>
      </c>
      <c r="E16">
        <v>7600</v>
      </c>
      <c r="H16" s="17"/>
    </row>
    <row r="17" spans="2:8" ht="12.75">
      <c r="B17" s="5"/>
      <c r="C17" t="s">
        <v>42</v>
      </c>
      <c r="E17">
        <v>75279</v>
      </c>
      <c r="H17" s="17"/>
    </row>
    <row r="18" spans="2:8" ht="12.75">
      <c r="B18" s="5"/>
      <c r="C18" t="s">
        <v>7</v>
      </c>
      <c r="E18">
        <v>174.6</v>
      </c>
      <c r="F18" s="28">
        <v>0.00054</v>
      </c>
      <c r="H18" s="17"/>
    </row>
    <row r="19" spans="2:8" ht="12.75">
      <c r="B19" s="5"/>
      <c r="H19" s="17"/>
    </row>
    <row r="20" spans="2:8" ht="12.75">
      <c r="B20" s="5"/>
      <c r="C20" t="s">
        <v>56</v>
      </c>
      <c r="H20" s="17">
        <f>E15*E16*0.054/365*9</f>
        <v>24282.83953972603</v>
      </c>
    </row>
    <row r="21" spans="2:8" ht="12.75">
      <c r="B21" s="5"/>
      <c r="H21" s="17"/>
    </row>
    <row r="22" spans="1:9" ht="12.75">
      <c r="A22" s="3"/>
      <c r="B22" s="9" t="s">
        <v>8</v>
      </c>
      <c r="C22" s="3" t="s">
        <v>9</v>
      </c>
      <c r="D22" s="3"/>
      <c r="E22" s="3"/>
      <c r="F22" s="3"/>
      <c r="G22" s="3"/>
      <c r="H22" s="17"/>
      <c r="I22" s="3"/>
    </row>
    <row r="23" spans="2:8" ht="12.75">
      <c r="B23" s="5"/>
      <c r="C23" t="s">
        <v>10</v>
      </c>
      <c r="E23">
        <v>40</v>
      </c>
      <c r="H23" s="17"/>
    </row>
    <row r="24" spans="2:8" ht="12.75">
      <c r="B24" s="5"/>
      <c r="C24" t="s">
        <v>11</v>
      </c>
      <c r="E24">
        <v>0.03</v>
      </c>
      <c r="H24" s="17"/>
    </row>
    <row r="25" spans="2:8" ht="12.75">
      <c r="B25" s="5"/>
      <c r="C25" t="s">
        <v>0</v>
      </c>
      <c r="E25">
        <v>5</v>
      </c>
      <c r="H25" s="17"/>
    </row>
    <row r="26" spans="2:8" ht="12.75">
      <c r="B26" s="5"/>
      <c r="C26" t="s">
        <v>12</v>
      </c>
      <c r="E26">
        <v>0.6</v>
      </c>
      <c r="H26" s="17"/>
    </row>
    <row r="27" spans="2:8" ht="12.75">
      <c r="B27" s="5"/>
      <c r="C27" t="s">
        <v>13</v>
      </c>
      <c r="E27">
        <v>72</v>
      </c>
      <c r="H27" s="17"/>
    </row>
    <row r="28" spans="2:8" ht="12.75">
      <c r="B28" s="5"/>
      <c r="C28" t="s">
        <v>14</v>
      </c>
      <c r="E28" s="2">
        <v>4.55</v>
      </c>
      <c r="H28" s="17"/>
    </row>
    <row r="29" spans="2:8" ht="12.75">
      <c r="B29" s="5"/>
      <c r="H29" s="17"/>
    </row>
    <row r="30" spans="2:8" ht="12.75">
      <c r="B30" s="5"/>
      <c r="C30" t="s">
        <v>57</v>
      </c>
      <c r="H30" s="17">
        <f>SUM((E23*E24)+(E25*E26))*E27*E28</f>
        <v>1375.92</v>
      </c>
    </row>
    <row r="31" spans="2:8" ht="12.75">
      <c r="B31" s="5"/>
      <c r="H31" s="17"/>
    </row>
    <row r="32" spans="1:9" ht="12.75">
      <c r="A32" s="3"/>
      <c r="B32" s="9" t="s">
        <v>15</v>
      </c>
      <c r="C32" s="3" t="s">
        <v>16</v>
      </c>
      <c r="D32" s="3"/>
      <c r="E32" s="3"/>
      <c r="F32" s="3"/>
      <c r="G32" s="3"/>
      <c r="H32" s="17"/>
      <c r="I32" s="3"/>
    </row>
    <row r="33" spans="2:8" ht="12.75">
      <c r="B33" s="5"/>
      <c r="C33" t="s">
        <v>17</v>
      </c>
      <c r="E33">
        <v>25</v>
      </c>
      <c r="H33" s="17"/>
    </row>
    <row r="34" spans="2:8" ht="12.75">
      <c r="B34" s="5"/>
      <c r="C34" t="s">
        <v>18</v>
      </c>
      <c r="E34">
        <v>0.01</v>
      </c>
      <c r="H34" s="17"/>
    </row>
    <row r="35" spans="2:8" ht="12.75">
      <c r="B35" s="5"/>
      <c r="C35" t="s">
        <v>19</v>
      </c>
      <c r="E35">
        <v>9</v>
      </c>
      <c r="H35" s="17"/>
    </row>
    <row r="36" spans="2:8" ht="12.75">
      <c r="B36" s="5"/>
      <c r="C36" t="s">
        <v>40</v>
      </c>
      <c r="E36" s="2">
        <v>60.73</v>
      </c>
      <c r="H36" s="17"/>
    </row>
    <row r="37" spans="2:8" ht="12.75">
      <c r="B37" s="5"/>
      <c r="H37" s="17"/>
    </row>
    <row r="38" spans="2:8" ht="12.75">
      <c r="B38" s="5"/>
      <c r="C38" t="s">
        <v>58</v>
      </c>
      <c r="H38" s="17">
        <f>SUM(E33*E34*E35*E36)</f>
        <v>136.64249999999998</v>
      </c>
    </row>
    <row r="39" spans="2:8" ht="12.75">
      <c r="B39" s="5"/>
      <c r="H39" s="17"/>
    </row>
    <row r="40" spans="1:9" ht="12.75">
      <c r="A40" s="3"/>
      <c r="B40" s="9" t="s">
        <v>20</v>
      </c>
      <c r="C40" s="3" t="s">
        <v>43</v>
      </c>
      <c r="D40" s="3"/>
      <c r="E40" s="3"/>
      <c r="F40" s="3"/>
      <c r="G40" s="3"/>
      <c r="H40" s="17"/>
      <c r="I40" s="3"/>
    </row>
    <row r="41" spans="2:8" ht="12.75">
      <c r="B41" s="5"/>
      <c r="C41" t="s">
        <v>17</v>
      </c>
      <c r="E41">
        <v>25</v>
      </c>
      <c r="H41" s="17"/>
    </row>
    <row r="42" spans="2:8" ht="12.75">
      <c r="B42" s="5"/>
      <c r="C42" t="s">
        <v>44</v>
      </c>
      <c r="E42">
        <v>0.01</v>
      </c>
      <c r="H42" s="17"/>
    </row>
    <row r="43" spans="2:8" ht="12.75">
      <c r="B43" s="5"/>
      <c r="C43" t="s">
        <v>19</v>
      </c>
      <c r="E43">
        <v>9</v>
      </c>
      <c r="H43" s="17"/>
    </row>
    <row r="44" spans="2:8" ht="12.75">
      <c r="B44" s="5"/>
      <c r="C44" t="s">
        <v>41</v>
      </c>
      <c r="E44" s="2">
        <v>85.88</v>
      </c>
      <c r="H44" s="17"/>
    </row>
    <row r="45" spans="2:8" ht="12.75">
      <c r="B45" s="5"/>
      <c r="H45" s="17"/>
    </row>
    <row r="46" spans="2:8" ht="12.75">
      <c r="B46" s="5"/>
      <c r="C46" t="s">
        <v>59</v>
      </c>
      <c r="H46" s="17">
        <f>SUM(E41*E42*E43*E44)</f>
        <v>193.23</v>
      </c>
    </row>
    <row r="47" spans="2:8" ht="12.75">
      <c r="B47" s="5"/>
      <c r="H47" s="17"/>
    </row>
    <row r="48" spans="1:9" ht="12.75">
      <c r="A48" s="21"/>
      <c r="B48" s="24" t="s">
        <v>21</v>
      </c>
      <c r="C48" s="21"/>
      <c r="D48" s="21"/>
      <c r="E48" s="21"/>
      <c r="F48" s="21"/>
      <c r="G48" s="21"/>
      <c r="H48" s="23">
        <f>H20+H30+H38+H46</f>
        <v>25988.63203972603</v>
      </c>
      <c r="I48" s="21"/>
    </row>
    <row r="49" spans="1:8" ht="12.75">
      <c r="A49" s="3"/>
      <c r="B49" s="5"/>
      <c r="H49" s="17"/>
    </row>
    <row r="50" spans="1:9" ht="12.75">
      <c r="A50" s="3" t="s">
        <v>22</v>
      </c>
      <c r="B50" s="9" t="s">
        <v>23</v>
      </c>
      <c r="C50" s="3"/>
      <c r="D50" s="3"/>
      <c r="E50" s="3"/>
      <c r="F50" s="3"/>
      <c r="G50" s="3"/>
      <c r="H50" s="17"/>
      <c r="I50" s="3"/>
    </row>
    <row r="51" spans="1:9" ht="12.75">
      <c r="A51" s="3"/>
      <c r="B51" s="9" t="s">
        <v>24</v>
      </c>
      <c r="C51" s="3" t="s">
        <v>25</v>
      </c>
      <c r="D51" s="3"/>
      <c r="E51" s="3"/>
      <c r="F51" s="3"/>
      <c r="G51" s="3"/>
      <c r="H51" s="17"/>
      <c r="I51" s="3"/>
    </row>
    <row r="52" spans="2:8" ht="12.75">
      <c r="B52" s="5"/>
      <c r="C52" t="s">
        <v>13</v>
      </c>
      <c r="E52">
        <v>72</v>
      </c>
      <c r="H52" s="17"/>
    </row>
    <row r="53" spans="2:8" ht="12.75">
      <c r="B53" s="5"/>
      <c r="C53" t="s">
        <v>26</v>
      </c>
      <c r="E53">
        <v>432</v>
      </c>
      <c r="H53" s="17"/>
    </row>
    <row r="54" spans="2:8" ht="12.75">
      <c r="B54" s="5"/>
      <c r="H54" s="17"/>
    </row>
    <row r="55" spans="2:8" ht="12.75">
      <c r="B55" s="5"/>
      <c r="C55" t="s">
        <v>53</v>
      </c>
      <c r="H55" s="17">
        <f>E52*E53</f>
        <v>31104</v>
      </c>
    </row>
    <row r="56" spans="2:8" ht="12.75">
      <c r="B56" s="5"/>
      <c r="H56" s="17"/>
    </row>
    <row r="57" spans="2:8" ht="12.75">
      <c r="B57" s="9" t="s">
        <v>27</v>
      </c>
      <c r="C57" s="3" t="s">
        <v>47</v>
      </c>
      <c r="H57" s="17"/>
    </row>
    <row r="58" spans="1:9" ht="12.75">
      <c r="A58" s="3"/>
      <c r="B58" s="9"/>
      <c r="C58" s="3" t="s">
        <v>48</v>
      </c>
      <c r="D58" s="3"/>
      <c r="E58" s="14">
        <v>0.25</v>
      </c>
      <c r="F58" s="3"/>
      <c r="G58" s="3"/>
      <c r="H58" s="17">
        <f>(11000*25)*25%</f>
        <v>68750</v>
      </c>
      <c r="I58" s="3"/>
    </row>
    <row r="59" spans="2:8" ht="12.75">
      <c r="B59" s="5"/>
      <c r="H59" s="17"/>
    </row>
    <row r="60" spans="1:9" ht="12.75">
      <c r="A60" s="21"/>
      <c r="B60" s="24" t="s">
        <v>28</v>
      </c>
      <c r="C60" s="21"/>
      <c r="D60" s="21"/>
      <c r="E60" s="21"/>
      <c r="F60" s="21"/>
      <c r="G60" s="21"/>
      <c r="H60" s="23">
        <f>H55+H58</f>
        <v>99854</v>
      </c>
      <c r="I60" s="21"/>
    </row>
    <row r="61" spans="2:8" ht="12.75">
      <c r="B61" s="5"/>
      <c r="H61" s="17"/>
    </row>
    <row r="62" spans="1:9" ht="12.75">
      <c r="A62" s="3" t="s">
        <v>29</v>
      </c>
      <c r="B62" s="9" t="s">
        <v>30</v>
      </c>
      <c r="C62" s="3"/>
      <c r="D62" s="3"/>
      <c r="E62" s="3"/>
      <c r="F62" s="3"/>
      <c r="G62" s="3"/>
      <c r="H62" s="17"/>
      <c r="I62" s="3"/>
    </row>
    <row r="63" spans="2:8" ht="12.75">
      <c r="B63" s="5"/>
      <c r="H63" s="17"/>
    </row>
    <row r="64" spans="2:8" ht="12.75">
      <c r="B64" s="5"/>
      <c r="C64" t="s">
        <v>23</v>
      </c>
      <c r="E64" s="18">
        <f>H60</f>
        <v>99854</v>
      </c>
      <c r="H64" s="17"/>
    </row>
    <row r="65" spans="2:8" ht="12.75">
      <c r="B65" s="5"/>
      <c r="C65" t="s">
        <v>31</v>
      </c>
      <c r="E65" s="16">
        <v>0.302</v>
      </c>
      <c r="H65" s="17"/>
    </row>
    <row r="66" spans="2:8" ht="12.75">
      <c r="B66" s="5"/>
      <c r="E66" s="16"/>
      <c r="H66" s="17"/>
    </row>
    <row r="67" spans="1:9" ht="12.75">
      <c r="A67" s="22"/>
      <c r="B67" s="24" t="s">
        <v>32</v>
      </c>
      <c r="C67" s="21"/>
      <c r="D67" s="21"/>
      <c r="E67" s="21"/>
      <c r="F67" s="22"/>
      <c r="G67" s="22"/>
      <c r="H67" s="23">
        <f>SUM(E64*E65)</f>
        <v>30155.908</v>
      </c>
      <c r="I67" s="22"/>
    </row>
    <row r="68" spans="2:8" ht="12.75">
      <c r="B68" s="5"/>
      <c r="H68" s="17"/>
    </row>
    <row r="69" spans="1:8" ht="12.75">
      <c r="A69" s="3" t="s">
        <v>33</v>
      </c>
      <c r="B69" s="9" t="s">
        <v>34</v>
      </c>
      <c r="C69" s="3"/>
      <c r="D69" s="3"/>
      <c r="E69" s="3"/>
      <c r="F69" s="3"/>
      <c r="G69" s="3"/>
      <c r="H69" s="17"/>
    </row>
    <row r="70" spans="2:8" ht="12.75">
      <c r="B70" s="5"/>
      <c r="H70" s="17"/>
    </row>
    <row r="71" spans="2:8" ht="12.75">
      <c r="B71" s="5"/>
      <c r="C71" t="s">
        <v>35</v>
      </c>
      <c r="E71">
        <v>30.83</v>
      </c>
      <c r="H71" s="17"/>
    </row>
    <row r="72" spans="2:8" ht="12.75">
      <c r="B72" s="5"/>
      <c r="C72" t="s">
        <v>17</v>
      </c>
      <c r="E72">
        <v>25</v>
      </c>
      <c r="H72" s="17"/>
    </row>
    <row r="73" spans="2:8" ht="12.75">
      <c r="B73" s="5"/>
      <c r="H73" s="17"/>
    </row>
    <row r="74" spans="1:9" ht="12.75">
      <c r="A74" s="22"/>
      <c r="B74" s="24" t="s">
        <v>36</v>
      </c>
      <c r="C74" s="21"/>
      <c r="D74" s="21"/>
      <c r="E74" s="21"/>
      <c r="F74" s="21"/>
      <c r="G74" s="21"/>
      <c r="H74" s="23">
        <f>E71*E72</f>
        <v>770.75</v>
      </c>
      <c r="I74" s="22"/>
    </row>
    <row r="75" spans="2:12" ht="12.75">
      <c r="B75" s="5"/>
      <c r="H75" s="17"/>
      <c r="L75" s="18"/>
    </row>
    <row r="76" spans="1:8" ht="12.75">
      <c r="A76" s="3" t="s">
        <v>46</v>
      </c>
      <c r="B76" s="5" t="s">
        <v>38</v>
      </c>
      <c r="E76" s="1"/>
      <c r="G76" s="1">
        <v>0.15</v>
      </c>
      <c r="H76" s="17">
        <f>(11824*25)*15%</f>
        <v>44340</v>
      </c>
    </row>
    <row r="77" spans="1:8" ht="12.75">
      <c r="A77" s="3" t="s">
        <v>49</v>
      </c>
      <c r="B77" s="5" t="s">
        <v>51</v>
      </c>
      <c r="E77" s="1"/>
      <c r="G77" s="1">
        <v>0.25</v>
      </c>
      <c r="H77" s="17">
        <f>(11824*25)*25%</f>
        <v>73900</v>
      </c>
    </row>
    <row r="78" spans="1:9" ht="13.5">
      <c r="A78" s="12"/>
      <c r="B78" s="13"/>
      <c r="C78" s="10"/>
      <c r="D78" s="12"/>
      <c r="E78" s="12"/>
      <c r="F78" s="12"/>
      <c r="G78" s="11"/>
      <c r="H78" s="19"/>
      <c r="I78" s="12"/>
    </row>
    <row r="79" spans="1:9" ht="13.5">
      <c r="A79" s="21"/>
      <c r="B79" s="25" t="s">
        <v>37</v>
      </c>
      <c r="C79" s="26"/>
      <c r="D79" s="26"/>
      <c r="E79" s="26"/>
      <c r="F79" s="26"/>
      <c r="G79" s="26"/>
      <c r="H79" s="27">
        <f>H48+H60+H67+H74+H76+H77</f>
        <v>275009.29003972607</v>
      </c>
      <c r="I79" s="21"/>
    </row>
    <row r="80" spans="1:9" ht="13.5">
      <c r="A80" s="12"/>
      <c r="B80" s="13"/>
      <c r="C80" s="12"/>
      <c r="D80" s="12"/>
      <c r="E80" s="12"/>
      <c r="F80" s="12"/>
      <c r="G80" s="12"/>
      <c r="H80" s="19"/>
      <c r="I80" s="12"/>
    </row>
    <row r="81" spans="2:9" ht="13.5">
      <c r="B81" s="5"/>
      <c r="C81" s="12" t="s">
        <v>39</v>
      </c>
      <c r="D81" s="12"/>
      <c r="E81" s="12"/>
      <c r="F81" s="12"/>
      <c r="G81" s="12"/>
      <c r="H81" s="19">
        <f>H79/25</f>
        <v>11000.371601589042</v>
      </c>
      <c r="I81" s="12"/>
    </row>
    <row r="82" spans="2:8" ht="12.75">
      <c r="B82" s="5"/>
      <c r="H82" s="8"/>
    </row>
  </sheetData>
  <sheetProtection/>
  <mergeCells count="7">
    <mergeCell ref="A11:K11"/>
    <mergeCell ref="F1:K1"/>
    <mergeCell ref="F3:K3"/>
    <mergeCell ref="F5:K5"/>
    <mergeCell ref="F7:K7"/>
    <mergeCell ref="A9:K9"/>
    <mergeCell ref="A10:K10"/>
  </mergeCells>
  <printOptions/>
  <pageMargins left="0.5118110236220472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 Охлопков</cp:lastModifiedBy>
  <cp:lastPrinted>2021-02-12T03:25:11Z</cp:lastPrinted>
  <dcterms:created xsi:type="dcterms:W3CDTF">2004-11-23T01:41:10Z</dcterms:created>
  <dcterms:modified xsi:type="dcterms:W3CDTF">2021-11-30T06:16:20Z</dcterms:modified>
  <cp:category/>
  <cp:version/>
  <cp:contentType/>
  <cp:contentStatus/>
</cp:coreProperties>
</file>